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/>
  </bookViews>
  <sheets>
    <sheet name="2019 - 2022" sheetId="10" r:id="rId1"/>
  </sheets>
  <definedNames>
    <definedName name="_xlnm.Print_Titles" localSheetId="0">'2019 - 2022'!$7:$9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27" i="10" l="1"/>
  <c r="N174" i="10"/>
  <c r="N25" i="10" l="1"/>
  <c r="N26" i="10" l="1"/>
  <c r="N114" i="10" l="1"/>
  <c r="P191" i="10"/>
  <c r="O191" i="10"/>
  <c r="K191" i="10"/>
  <c r="J116" i="10"/>
  <c r="K116" i="10"/>
  <c r="L116" i="10"/>
  <c r="M116" i="10"/>
  <c r="N116" i="10"/>
  <c r="O116" i="10"/>
  <c r="P116" i="10"/>
  <c r="O115" i="10"/>
  <c r="P115" i="10"/>
  <c r="J114" i="10"/>
  <c r="L114" i="10"/>
  <c r="O114" i="10"/>
  <c r="P114" i="10"/>
  <c r="K113" i="10"/>
  <c r="O113" i="10"/>
  <c r="P113" i="10"/>
  <c r="I113" i="10"/>
  <c r="I114" i="10"/>
  <c r="I116" i="10"/>
  <c r="K112" i="10"/>
  <c r="O112" i="10"/>
  <c r="P112" i="10"/>
  <c r="N191" i="10"/>
  <c r="M191" i="10"/>
  <c r="G196" i="10"/>
  <c r="G195" i="10"/>
  <c r="G194" i="10"/>
  <c r="G193" i="10"/>
  <c r="G192" i="10"/>
  <c r="L191" i="10"/>
  <c r="J191" i="10"/>
  <c r="I191" i="10"/>
  <c r="H191" i="10"/>
  <c r="G191" i="10" l="1"/>
  <c r="N115" i="10"/>
  <c r="N125" i="10" l="1"/>
  <c r="N113" i="10" s="1"/>
  <c r="N124" i="10"/>
  <c r="N112" i="10" s="1"/>
  <c r="M36" i="10" l="1"/>
  <c r="M38" i="10"/>
  <c r="M34" i="10" l="1"/>
  <c r="M68" i="10" l="1"/>
  <c r="M74" i="10"/>
  <c r="M23" i="10"/>
  <c r="M29" i="10"/>
  <c r="M28" i="10" s="1"/>
  <c r="M24" i="10"/>
  <c r="M30" i="10"/>
  <c r="M138" i="10" l="1"/>
  <c r="M126" i="10"/>
  <c r="M114" i="10" s="1"/>
  <c r="M125" i="10"/>
  <c r="M113" i="10" s="1"/>
  <c r="M124" i="10"/>
  <c r="M112" i="10" s="1"/>
  <c r="M80" i="10"/>
  <c r="M22" i="10"/>
  <c r="N22" i="10"/>
  <c r="N20" i="10" l="1"/>
  <c r="N19" i="10"/>
  <c r="O186" i="10" l="1"/>
  <c r="O181" i="10"/>
  <c r="O176" i="10"/>
  <c r="O170" i="10"/>
  <c r="O164" i="10"/>
  <c r="O158" i="10"/>
  <c r="O152" i="10"/>
  <c r="O146" i="10"/>
  <c r="O140" i="10"/>
  <c r="O134" i="10"/>
  <c r="O129" i="10"/>
  <c r="O123" i="10"/>
  <c r="O117" i="10"/>
  <c r="O200" i="10"/>
  <c r="O100" i="10"/>
  <c r="O94" i="10"/>
  <c r="O88" i="10"/>
  <c r="O82" i="10"/>
  <c r="O76" i="10"/>
  <c r="O70" i="10"/>
  <c r="O64" i="10"/>
  <c r="O58" i="10"/>
  <c r="O52" i="10"/>
  <c r="O46" i="10"/>
  <c r="O40" i="10"/>
  <c r="O34" i="10"/>
  <c r="O28" i="10"/>
  <c r="O22" i="10"/>
  <c r="O21" i="10"/>
  <c r="O20" i="10"/>
  <c r="O201" i="10" s="1"/>
  <c r="O19" i="10"/>
  <c r="O18" i="10"/>
  <c r="O199" i="10" s="1"/>
  <c r="O17" i="10"/>
  <c r="O10" i="10"/>
  <c r="M127" i="10"/>
  <c r="M115" i="10" s="1"/>
  <c r="O111" i="10" l="1"/>
  <c r="O198" i="10"/>
  <c r="O202" i="10"/>
  <c r="O197" i="10"/>
  <c r="O16" i="10"/>
  <c r="J21" i="10" l="1"/>
  <c r="K21" i="10"/>
  <c r="L21" i="10"/>
  <c r="N21" i="10"/>
  <c r="P21" i="10"/>
  <c r="M20" i="10"/>
  <c r="P20" i="10"/>
  <c r="J19" i="10"/>
  <c r="K19" i="10"/>
  <c r="L19" i="10"/>
  <c r="M19" i="10"/>
  <c r="P19" i="10"/>
  <c r="K18" i="10"/>
  <c r="L18" i="10"/>
  <c r="M18" i="10"/>
  <c r="N18" i="10"/>
  <c r="P18" i="10"/>
  <c r="K17" i="10"/>
  <c r="L17" i="10"/>
  <c r="M17" i="10"/>
  <c r="N17" i="10"/>
  <c r="N198" i="10" s="1"/>
  <c r="P17" i="10"/>
  <c r="I21" i="10"/>
  <c r="I19" i="10"/>
  <c r="I18" i="10"/>
  <c r="H28" i="10"/>
  <c r="I28" i="10"/>
  <c r="J28" i="10"/>
  <c r="K28" i="10"/>
  <c r="L28" i="10"/>
  <c r="N28" i="10"/>
  <c r="P28" i="10"/>
  <c r="G29" i="10"/>
  <c r="G30" i="10"/>
  <c r="G31" i="10"/>
  <c r="G32" i="10"/>
  <c r="N16" i="10" l="1"/>
  <c r="G28" i="10"/>
  <c r="L127" i="10" l="1"/>
  <c r="L125" i="10"/>
  <c r="L113" i="10" s="1"/>
  <c r="L124" i="10"/>
  <c r="L112" i="10" s="1"/>
  <c r="L50" i="10" l="1"/>
  <c r="N123" i="10" l="1"/>
  <c r="L74" i="10"/>
  <c r="L70" i="10" s="1"/>
  <c r="L92" i="10"/>
  <c r="L138" i="10"/>
  <c r="L115" i="10" s="1"/>
  <c r="L38" i="10"/>
  <c r="L68" i="10"/>
  <c r="L64" i="10" s="1"/>
  <c r="L44" i="10" l="1"/>
  <c r="G44" i="10" s="1"/>
  <c r="N76" i="10"/>
  <c r="M76" i="10"/>
  <c r="L86" i="10"/>
  <c r="L20" i="10" s="1"/>
  <c r="L123" i="10"/>
  <c r="N52" i="10"/>
  <c r="L46" i="10"/>
  <c r="K56" i="10"/>
  <c r="K52" i="10" s="1"/>
  <c r="K22" i="10"/>
  <c r="K138" i="10"/>
  <c r="K144" i="10"/>
  <c r="K140" i="10" s="1"/>
  <c r="K126" i="10"/>
  <c r="K173" i="10"/>
  <c r="K104" i="10"/>
  <c r="K100" i="10" s="1"/>
  <c r="K92" i="10"/>
  <c r="K88" i="10" s="1"/>
  <c r="K86" i="10"/>
  <c r="K82" i="10" s="1"/>
  <c r="K62" i="10"/>
  <c r="K68" i="10"/>
  <c r="K64" i="10" s="1"/>
  <c r="J86" i="10"/>
  <c r="J82" i="10" s="1"/>
  <c r="I50" i="10"/>
  <c r="I46" i="10" s="1"/>
  <c r="J38" i="10"/>
  <c r="I38" i="10"/>
  <c r="N200" i="10"/>
  <c r="N201" i="10"/>
  <c r="G169" i="10"/>
  <c r="G168" i="10"/>
  <c r="G167" i="10"/>
  <c r="G166" i="10"/>
  <c r="G165" i="10"/>
  <c r="P164" i="10"/>
  <c r="N164" i="10"/>
  <c r="M164" i="10"/>
  <c r="L164" i="10"/>
  <c r="K164" i="10"/>
  <c r="J164" i="10"/>
  <c r="I164" i="10"/>
  <c r="H164" i="10"/>
  <c r="G37" i="10"/>
  <c r="G43" i="10"/>
  <c r="G49" i="10"/>
  <c r="G55" i="10"/>
  <c r="G61" i="10"/>
  <c r="G67" i="10"/>
  <c r="G73" i="10"/>
  <c r="G79" i="10"/>
  <c r="G85" i="10"/>
  <c r="G91" i="10"/>
  <c r="G97" i="10"/>
  <c r="G103" i="10"/>
  <c r="G120" i="10"/>
  <c r="G137" i="10"/>
  <c r="G143" i="10"/>
  <c r="G149" i="10"/>
  <c r="G155" i="10"/>
  <c r="G161" i="10"/>
  <c r="G25" i="10"/>
  <c r="N186" i="10"/>
  <c r="N181" i="10"/>
  <c r="N176" i="10"/>
  <c r="N170" i="10"/>
  <c r="N158" i="10"/>
  <c r="N152" i="10"/>
  <c r="N146" i="10"/>
  <c r="N140" i="10"/>
  <c r="N134" i="10"/>
  <c r="N129" i="10"/>
  <c r="N117" i="10"/>
  <c r="N100" i="10"/>
  <c r="N94" i="10"/>
  <c r="N88" i="10"/>
  <c r="N82" i="10"/>
  <c r="N70" i="10"/>
  <c r="N64" i="10"/>
  <c r="N58" i="10"/>
  <c r="N46" i="10"/>
  <c r="N40" i="10"/>
  <c r="N34" i="10"/>
  <c r="N10" i="10"/>
  <c r="M186" i="10"/>
  <c r="M181" i="10"/>
  <c r="M176" i="10"/>
  <c r="M170" i="10"/>
  <c r="M158" i="10"/>
  <c r="M152" i="10"/>
  <c r="M146" i="10"/>
  <c r="M140" i="10"/>
  <c r="M134" i="10"/>
  <c r="M129" i="10"/>
  <c r="M123" i="10"/>
  <c r="M117" i="10"/>
  <c r="M100" i="10"/>
  <c r="M94" i="10"/>
  <c r="M82" i="10"/>
  <c r="M70" i="10"/>
  <c r="M64" i="10"/>
  <c r="M58" i="10"/>
  <c r="M52" i="10"/>
  <c r="M46" i="10"/>
  <c r="M40" i="10"/>
  <c r="M10" i="10"/>
  <c r="J154" i="10"/>
  <c r="J153" i="10"/>
  <c r="G153" i="10" s="1"/>
  <c r="J136" i="10"/>
  <c r="G136" i="10" s="1"/>
  <c r="J135" i="10"/>
  <c r="G135" i="10" s="1"/>
  <c r="J138" i="10"/>
  <c r="J115" i="10" s="1"/>
  <c r="I138" i="10"/>
  <c r="I115" i="10" s="1"/>
  <c r="J125" i="10"/>
  <c r="J124" i="10"/>
  <c r="J112" i="10" s="1"/>
  <c r="I124" i="10"/>
  <c r="I112" i="10" s="1"/>
  <c r="J80" i="10"/>
  <c r="J76" i="10" s="1"/>
  <c r="I80" i="10"/>
  <c r="I76" i="10" s="1"/>
  <c r="J62" i="10"/>
  <c r="J58" i="10" s="1"/>
  <c r="J56" i="10"/>
  <c r="I56" i="10"/>
  <c r="I52" i="10" s="1"/>
  <c r="I35" i="10"/>
  <c r="I17" i="10" s="1"/>
  <c r="J36" i="10"/>
  <c r="J35" i="10"/>
  <c r="J17" i="10" s="1"/>
  <c r="I199" i="10"/>
  <c r="G175" i="10"/>
  <c r="G174" i="10"/>
  <c r="G172" i="10"/>
  <c r="G171" i="10"/>
  <c r="P170" i="10"/>
  <c r="L170" i="10"/>
  <c r="J170" i="10"/>
  <c r="I170" i="10"/>
  <c r="H170" i="10"/>
  <c r="J160" i="10"/>
  <c r="G160" i="10" s="1"/>
  <c r="J159" i="10"/>
  <c r="G159" i="10" s="1"/>
  <c r="G163" i="10"/>
  <c r="G162" i="10"/>
  <c r="P158" i="10"/>
  <c r="L158" i="10"/>
  <c r="K158" i="10"/>
  <c r="I158" i="10"/>
  <c r="H158" i="10"/>
  <c r="J90" i="10"/>
  <c r="G90" i="10" s="1"/>
  <c r="G157" i="10"/>
  <c r="G156" i="10"/>
  <c r="P152" i="10"/>
  <c r="L152" i="10"/>
  <c r="K152" i="10"/>
  <c r="I152" i="10"/>
  <c r="H152" i="10"/>
  <c r="J92" i="10"/>
  <c r="G92" i="10" s="1"/>
  <c r="P117" i="10"/>
  <c r="K146" i="10"/>
  <c r="L140" i="10"/>
  <c r="L134" i="10"/>
  <c r="P123" i="10"/>
  <c r="I123" i="10"/>
  <c r="K117" i="10"/>
  <c r="L117" i="10"/>
  <c r="K34" i="10"/>
  <c r="L34" i="10"/>
  <c r="K40" i="10"/>
  <c r="K46" i="10"/>
  <c r="L58" i="10"/>
  <c r="K70" i="10"/>
  <c r="K76" i="10"/>
  <c r="L76" i="10"/>
  <c r="L88" i="10"/>
  <c r="K94" i="10"/>
  <c r="L94" i="10"/>
  <c r="L100" i="10"/>
  <c r="G105" i="10"/>
  <c r="G102" i="10"/>
  <c r="G101" i="10"/>
  <c r="P100" i="10"/>
  <c r="J100" i="10"/>
  <c r="I100" i="10"/>
  <c r="H100" i="10"/>
  <c r="G99" i="10"/>
  <c r="G98" i="10"/>
  <c r="G96" i="10"/>
  <c r="G95" i="10"/>
  <c r="P94" i="10"/>
  <c r="J94" i="10"/>
  <c r="I94" i="10"/>
  <c r="H94" i="10"/>
  <c r="G93" i="10"/>
  <c r="G89" i="10"/>
  <c r="P88" i="10"/>
  <c r="I88" i="10"/>
  <c r="H88" i="10"/>
  <c r="G87" i="10"/>
  <c r="G84" i="10"/>
  <c r="G83" i="10"/>
  <c r="P82" i="10"/>
  <c r="I82" i="10"/>
  <c r="H82" i="10"/>
  <c r="G81" i="10"/>
  <c r="G78" i="10"/>
  <c r="G77" i="10"/>
  <c r="P76" i="10"/>
  <c r="H76" i="10"/>
  <c r="G75" i="10"/>
  <c r="G74" i="10"/>
  <c r="G72" i="10"/>
  <c r="G71" i="10"/>
  <c r="P70" i="10"/>
  <c r="J70" i="10"/>
  <c r="I70" i="10"/>
  <c r="H70" i="10"/>
  <c r="G69" i="10"/>
  <c r="G66" i="10"/>
  <c r="G65" i="10"/>
  <c r="P64" i="10"/>
  <c r="J64" i="10"/>
  <c r="I64" i="10"/>
  <c r="H64" i="10"/>
  <c r="G63" i="10"/>
  <c r="G60" i="10"/>
  <c r="G59" i="10"/>
  <c r="P58" i="10"/>
  <c r="I58" i="10"/>
  <c r="H58" i="10"/>
  <c r="G57" i="10"/>
  <c r="G54" i="10"/>
  <c r="G53" i="10"/>
  <c r="H52" i="10"/>
  <c r="G51" i="10"/>
  <c r="G48" i="10"/>
  <c r="G47" i="10"/>
  <c r="P46" i="10"/>
  <c r="J46" i="10"/>
  <c r="H46" i="10"/>
  <c r="G45" i="10"/>
  <c r="G42" i="10"/>
  <c r="G41" i="10"/>
  <c r="P40" i="10"/>
  <c r="J40" i="10"/>
  <c r="I40" i="10"/>
  <c r="H40" i="10"/>
  <c r="P22" i="10"/>
  <c r="G122" i="10"/>
  <c r="P34" i="10"/>
  <c r="H117" i="10"/>
  <c r="H22" i="10"/>
  <c r="G39" i="10"/>
  <c r="H34" i="10"/>
  <c r="G14" i="10"/>
  <c r="G13" i="10"/>
  <c r="G12" i="10"/>
  <c r="G11" i="10"/>
  <c r="P10" i="10"/>
  <c r="J10" i="10"/>
  <c r="I10" i="10"/>
  <c r="H10" i="10"/>
  <c r="H16" i="10"/>
  <c r="H111" i="10"/>
  <c r="H123" i="10"/>
  <c r="G127" i="10"/>
  <c r="G128" i="10"/>
  <c r="H129" i="10"/>
  <c r="I129" i="10"/>
  <c r="J129" i="10"/>
  <c r="P129" i="10"/>
  <c r="G130" i="10"/>
  <c r="G131" i="10"/>
  <c r="G132" i="10"/>
  <c r="G133" i="10"/>
  <c r="H134" i="10"/>
  <c r="P134" i="10"/>
  <c r="G139" i="10"/>
  <c r="H140" i="10"/>
  <c r="I140" i="10"/>
  <c r="J140" i="10"/>
  <c r="P140" i="10"/>
  <c r="G141" i="10"/>
  <c r="G142" i="10"/>
  <c r="G145" i="10"/>
  <c r="H146" i="10"/>
  <c r="I146" i="10"/>
  <c r="J146" i="10"/>
  <c r="P146" i="10"/>
  <c r="G147" i="10"/>
  <c r="G148" i="10"/>
  <c r="G150" i="10"/>
  <c r="G151" i="10"/>
  <c r="H176" i="10"/>
  <c r="I176" i="10"/>
  <c r="J176" i="10"/>
  <c r="P176" i="10"/>
  <c r="G177" i="10"/>
  <c r="G178" i="10"/>
  <c r="G179" i="10"/>
  <c r="G180" i="10"/>
  <c r="H181" i="10"/>
  <c r="I181" i="10"/>
  <c r="J181" i="10"/>
  <c r="P181" i="10"/>
  <c r="G182" i="10"/>
  <c r="G183" i="10"/>
  <c r="G184" i="10"/>
  <c r="G185" i="10"/>
  <c r="H186" i="10"/>
  <c r="I186" i="10"/>
  <c r="J186" i="10"/>
  <c r="P186" i="10"/>
  <c r="G187" i="10"/>
  <c r="G188" i="10"/>
  <c r="G189" i="10"/>
  <c r="G190" i="10"/>
  <c r="H197" i="10"/>
  <c r="J22" i="10"/>
  <c r="I117" i="10"/>
  <c r="G119" i="10"/>
  <c r="J117" i="10"/>
  <c r="G118" i="10"/>
  <c r="G121" i="10"/>
  <c r="L52" i="10"/>
  <c r="P52" i="10"/>
  <c r="G24" i="10"/>
  <c r="K123" i="10" l="1"/>
  <c r="K114" i="10"/>
  <c r="G125" i="10"/>
  <c r="J113" i="10"/>
  <c r="K134" i="10"/>
  <c r="K115" i="10"/>
  <c r="G104" i="10"/>
  <c r="J18" i="10"/>
  <c r="G18" i="10" s="1"/>
  <c r="J123" i="10"/>
  <c r="L82" i="10"/>
  <c r="J152" i="10"/>
  <c r="J20" i="10"/>
  <c r="J201" i="10" s="1"/>
  <c r="K20" i="10"/>
  <c r="I20" i="10"/>
  <c r="I201" i="10" s="1"/>
  <c r="K199" i="10"/>
  <c r="G35" i="10"/>
  <c r="I202" i="10"/>
  <c r="J88" i="10"/>
  <c r="G56" i="10"/>
  <c r="M198" i="10"/>
  <c r="G116" i="10"/>
  <c r="N202" i="10"/>
  <c r="G154" i="10"/>
  <c r="G138" i="10"/>
  <c r="G134" i="10" s="1"/>
  <c r="I134" i="10"/>
  <c r="J134" i="10"/>
  <c r="G80" i="10"/>
  <c r="G76" i="10" s="1"/>
  <c r="I200" i="10"/>
  <c r="G124" i="10"/>
  <c r="I22" i="10"/>
  <c r="J158" i="10"/>
  <c r="J198" i="10"/>
  <c r="G115" i="10"/>
  <c r="G181" i="10"/>
  <c r="G176" i="10"/>
  <c r="G144" i="10"/>
  <c r="G140" i="10" s="1"/>
  <c r="G40" i="10"/>
  <c r="G94" i="10"/>
  <c r="G62" i="10"/>
  <c r="G58" i="10" s="1"/>
  <c r="P111" i="10"/>
  <c r="J200" i="10"/>
  <c r="P201" i="10"/>
  <c r="L200" i="10"/>
  <c r="G100" i="10"/>
  <c r="G146" i="10"/>
  <c r="G70" i="10"/>
  <c r="M199" i="10"/>
  <c r="K198" i="10"/>
  <c r="P202" i="10"/>
  <c r="P16" i="10"/>
  <c r="G36" i="10"/>
  <c r="I198" i="10"/>
  <c r="G117" i="10"/>
  <c r="G10" i="10"/>
  <c r="G68" i="10"/>
  <c r="G64" i="10" s="1"/>
  <c r="G88" i="10"/>
  <c r="G126" i="10"/>
  <c r="I34" i="10"/>
  <c r="J202" i="10"/>
  <c r="L199" i="10"/>
  <c r="L16" i="10"/>
  <c r="G26" i="10"/>
  <c r="G86" i="10"/>
  <c r="G82" i="10" s="1"/>
  <c r="G186" i="10"/>
  <c r="G129" i="10"/>
  <c r="G152" i="10"/>
  <c r="G158" i="10"/>
  <c r="G23" i="10"/>
  <c r="G164" i="10"/>
  <c r="P198" i="10"/>
  <c r="P199" i="10"/>
  <c r="K202" i="10"/>
  <c r="N199" i="10"/>
  <c r="P200" i="10"/>
  <c r="K16" i="10"/>
  <c r="G114" i="10"/>
  <c r="L202" i="10"/>
  <c r="G19" i="10"/>
  <c r="M201" i="10"/>
  <c r="G52" i="10"/>
  <c r="G17" i="10"/>
  <c r="N111" i="10"/>
  <c r="J34" i="10"/>
  <c r="G113" i="10"/>
  <c r="J52" i="10"/>
  <c r="K58" i="10"/>
  <c r="G173" i="10"/>
  <c r="G170" i="10" s="1"/>
  <c r="G38" i="10"/>
  <c r="G50" i="10"/>
  <c r="G46" i="10" s="1"/>
  <c r="K170" i="10"/>
  <c r="L22" i="10"/>
  <c r="I111" i="10"/>
  <c r="L40" i="10"/>
  <c r="M111" i="10"/>
  <c r="M200" i="10"/>
  <c r="G123" i="10" l="1"/>
  <c r="G34" i="10"/>
  <c r="I16" i="10"/>
  <c r="G112" i="10"/>
  <c r="G111" i="10" s="1"/>
  <c r="J199" i="10"/>
  <c r="G199" i="10" s="1"/>
  <c r="I197" i="10"/>
  <c r="J16" i="10"/>
  <c r="K201" i="10"/>
  <c r="P197" i="10"/>
  <c r="N197" i="10"/>
  <c r="K111" i="10"/>
  <c r="L201" i="10"/>
  <c r="G201" i="10" s="1"/>
  <c r="K200" i="10"/>
  <c r="G20" i="10"/>
  <c r="J197" i="10"/>
  <c r="L198" i="10"/>
  <c r="L111" i="10"/>
  <c r="J111" i="10"/>
  <c r="K197" i="10" l="1"/>
  <c r="L197" i="10"/>
  <c r="G200" i="10"/>
  <c r="G198" i="10"/>
  <c r="G27" i="10"/>
  <c r="G22" i="10" s="1"/>
  <c r="M21" i="10"/>
  <c r="M16" i="10" s="1"/>
  <c r="M202" i="10" l="1"/>
  <c r="G21" i="10"/>
  <c r="G16" i="10" s="1"/>
  <c r="G202" i="10" l="1"/>
  <c r="G197" i="10" s="1"/>
  <c r="M197" i="10"/>
</calcChain>
</file>

<file path=xl/sharedStrings.xml><?xml version="1.0" encoding="utf-8"?>
<sst xmlns="http://schemas.openxmlformats.org/spreadsheetml/2006/main" count="314" uniqueCount="95">
  <si>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</si>
  <si>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</si>
  <si>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</si>
  <si>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</si>
  <si>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</si>
  <si>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</si>
  <si>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</si>
  <si>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</si>
  <si>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</si>
  <si>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</si>
  <si>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</si>
  <si>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Мероприятие 3. Капитальный ремонт сети наружного освещения сквера им. Ленина</t>
  </si>
  <si>
    <t>ДГХА г. Евпатории РК</t>
  </si>
  <si>
    <t>Разработка муниципальной программы "Энергосбережение и повышение энергетической эффективности муниципального образования городской округ Евпатория Республики Крым на 2018-2020 годы" (выполнение научно-исследовательской работы)</t>
  </si>
  <si>
    <t>Разработка муниципальной программы "Газификация муниципального образования городской округ Евпатория Республики Крым на 2017-2020 годы" (выполнение научно-исследовательской работы)</t>
  </si>
  <si>
    <t>Разработка муниципальной программы комплексного развития коммунальной инфраструктуры муниципального образования городской округ Евпатория Республики  Крым (выполнение научно-исследовательской работы)</t>
  </si>
  <si>
    <t>2019-2022</t>
  </si>
  <si>
    <t>4.2</t>
  </si>
  <si>
    <t>Мероприятие 2. Ремонт контейнерных площадок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</si>
  <si>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</si>
  <si>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</si>
  <si>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</si>
  <si>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</si>
  <si>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</si>
  <si>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</si>
  <si>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</si>
  <si>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</si>
  <si>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</si>
  <si>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</si>
  <si>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</si>
  <si>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</si>
  <si>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</si>
  <si>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</si>
  <si>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</si>
  <si>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</si>
  <si>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</si>
  <si>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</si>
  <si>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</si>
  <si>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</si>
  <si>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</si>
  <si>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</si>
  <si>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</si>
  <si>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</si>
  <si>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</si>
  <si>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</si>
  <si>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</si>
  <si>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</si>
  <si>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</si>
  <si>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</si>
  <si>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</si>
  <si>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</si>
  <si>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</si>
  <si>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</si>
  <si>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</si>
  <si>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</si>
  <si>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</si>
  <si>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</si>
  <si>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</si>
  <si>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</si>
  <si>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</si>
  <si>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</si>
  <si>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</si>
  <si>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</si>
  <si>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</si>
  <si>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</si>
  <si>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</si>
  <si>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</si>
  <si>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</si>
  <si>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</si>
  <si>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</si>
  <si>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</si>
  <si>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</si>
  <si>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</si>
  <si>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</si>
  <si>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 xml:space="preserve">  </t>
  </si>
  <si>
    <t>2018-2022</t>
  </si>
  <si>
    <t>2018-2023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</si>
  <si>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</si>
  <si>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</si>
  <si>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</si>
  <si>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</si>
  <si>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</si>
  <si>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</si>
  <si>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>2018-2020</t>
  </si>
  <si>
    <t xml:space="preserve">Ремонт (текущий ремонт) контейнерных площадок
</t>
  </si>
  <si>
    <t>2020-2023</t>
  </si>
  <si>
    <t>2018, 2019, 2021, 2022</t>
  </si>
  <si>
    <t>2018, 2020-2023</t>
  </si>
  <si>
    <t>2018, 2020, 2021</t>
  </si>
  <si>
    <t>2018-2019, 2021-2022</t>
  </si>
  <si>
    <t>2018-2019, 2022-2023</t>
  </si>
  <si>
    <t>2018-2020, 2022</t>
  </si>
  <si>
    <t>2018, 2020, 2022</t>
  </si>
  <si>
    <t>2.10</t>
  </si>
  <si>
    <t>Благоустройство общественных территорий(в части обустройства контейнерных площадок для сбора ТКО)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</si>
</sst>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00000"/>
    <numFmt numFmtId="167" formatCode="#,##0.0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5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/>
    <xf numFmtId="165" fontId="10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wrapText="1"/>
    </xf>
    <xf numFmtId="166" fontId="1" fillId="2" borderId="0" xfId="0" applyNumberFormat="1" applyFont="1" applyFill="1" applyAlignment="1">
      <alignment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3" fillId="2" borderId="5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06"/>
  <sheetViews>
    <sheetView tabSelected="1" view="pageBreakPreview" zoomScale="80" zoomScaleNormal="80" zoomScaleSheetLayoutView="80" workbookViewId="0">
      <pane ySplit="8" topLeftCell="A120" activePane="bottomLeft" state="frozen"/>
      <selection pane="bottomLeft" activeCell="N127" sqref="N127"/>
    </sheetView>
  </sheetViews>
  <sheetFormatPr defaultRowHeight="15.75" x14ac:dyDescent="0.25"/>
  <cols>
    <col min="1" max="1" width="2.85546875" style="1" customWidth="1"/>
    <col min="2" max="2" width="5.85546875" style="1" customWidth="1"/>
    <col min="3" max="3" width="20.5703125" style="2" customWidth="1"/>
    <col min="4" max="4" width="9.28515625" style="2" customWidth="1"/>
    <col min="5" max="5" width="12.5703125" style="2" customWidth="1"/>
    <col min="6" max="6" width="19.7109375" style="2" customWidth="1"/>
    <col min="7" max="7" width="19.28515625" style="2" customWidth="1"/>
    <col min="8" max="8" width="3.42578125" style="2" hidden="1" customWidth="1"/>
    <col min="9" max="9" width="18.5703125" style="2" customWidth="1"/>
    <col min="10" max="10" width="18.140625" style="2" customWidth="1"/>
    <col min="11" max="11" width="17" style="2" customWidth="1"/>
    <col min="12" max="13" width="16.85546875" style="2" customWidth="1"/>
    <col min="14" max="14" width="18.28515625" style="2" customWidth="1"/>
    <col min="15" max="15" width="16.85546875" style="2" customWidth="1"/>
    <col min="16" max="16" width="18" style="1" customWidth="1"/>
    <col min="17" max="17" width="13.28515625" style="3" hidden="1" customWidth="1"/>
    <col min="18" max="18" width="15.140625" style="3" hidden="1" customWidth="1"/>
    <col min="19" max="16384" width="9.140625" style="3"/>
  </cols>
  <sheetData>
    <row r="2" spans="2:16" ht="30.75" customHeight="1" x14ac:dyDescent="0.25">
      <c r="I2" s="70"/>
      <c r="J2" s="70"/>
      <c r="K2" s="70"/>
      <c r="L2" s="70"/>
      <c r="M2" s="70"/>
      <c r="N2" s="70"/>
      <c r="O2" s="70"/>
      <c r="P2" s="70"/>
    </row>
    <row r="3" spans="2:16" ht="12" customHeight="1" x14ac:dyDescent="0.25">
      <c r="I3" s="23"/>
      <c r="J3" s="23"/>
      <c r="K3" s="23"/>
      <c r="L3" s="23"/>
      <c r="M3" s="23"/>
      <c r="N3" s="23"/>
      <c r="O3" s="28"/>
      <c r="P3" s="23"/>
    </row>
    <row r="4" spans="2:16" ht="49.5" customHeight="1" x14ac:dyDescent="0.25">
      <c r="I4" s="63" t="s">
        <v>71</v>
      </c>
      <c r="J4" s="63"/>
      <c r="K4" s="63"/>
      <c r="L4" s="63"/>
      <c r="M4" s="63"/>
      <c r="N4" s="63"/>
      <c r="O4" s="63"/>
      <c r="P4" s="63"/>
    </row>
    <row r="5" spans="2:16" ht="16.5" customHeight="1" x14ac:dyDescent="0.25">
      <c r="B5" s="64" t="s">
        <v>72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2:16" ht="16.5" customHeight="1" x14ac:dyDescent="0.25"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2:16" ht="75.75" customHeight="1" x14ac:dyDescent="0.25">
      <c r="B7" s="66" t="s">
        <v>7</v>
      </c>
      <c r="C7" s="46" t="s">
        <v>20</v>
      </c>
      <c r="D7" s="46" t="s">
        <v>0</v>
      </c>
      <c r="E7" s="46" t="s">
        <v>19</v>
      </c>
      <c r="F7" s="46" t="s">
        <v>8</v>
      </c>
      <c r="G7" s="46" t="s">
        <v>9</v>
      </c>
      <c r="H7" s="46" t="s">
        <v>1</v>
      </c>
      <c r="I7" s="46"/>
      <c r="J7" s="46"/>
      <c r="K7" s="46"/>
      <c r="L7" s="46"/>
      <c r="M7" s="46"/>
      <c r="N7" s="46"/>
      <c r="O7" s="46"/>
      <c r="P7" s="46"/>
    </row>
    <row r="8" spans="2:16" ht="13.5" customHeight="1" x14ac:dyDescent="0.25">
      <c r="B8" s="66"/>
      <c r="C8" s="46"/>
      <c r="D8" s="46"/>
      <c r="E8" s="46"/>
      <c r="F8" s="46"/>
      <c r="G8" s="46"/>
      <c r="H8" s="24">
        <v>2016</v>
      </c>
      <c r="I8" s="24">
        <v>2018</v>
      </c>
      <c r="J8" s="24">
        <v>2019</v>
      </c>
      <c r="K8" s="24">
        <v>2020</v>
      </c>
      <c r="L8" s="24">
        <v>2021</v>
      </c>
      <c r="M8" s="42">
        <v>2022</v>
      </c>
      <c r="N8" s="44">
        <v>2023</v>
      </c>
      <c r="O8" s="29">
        <v>2024</v>
      </c>
      <c r="P8" s="24">
        <v>2025</v>
      </c>
    </row>
    <row r="9" spans="2:16" x14ac:dyDescent="0.25">
      <c r="B9" s="25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8</v>
      </c>
      <c r="I9" s="24">
        <v>7</v>
      </c>
      <c r="J9" s="24">
        <v>8</v>
      </c>
      <c r="K9" s="24">
        <v>9</v>
      </c>
      <c r="L9" s="24">
        <v>10</v>
      </c>
      <c r="M9" s="24">
        <v>11</v>
      </c>
      <c r="N9" s="24">
        <v>12</v>
      </c>
      <c r="O9" s="29">
        <v>13</v>
      </c>
      <c r="P9" s="24">
        <v>14</v>
      </c>
    </row>
    <row r="10" spans="2:16" ht="16.5" hidden="1" customHeight="1" x14ac:dyDescent="0.25">
      <c r="B10" s="72"/>
      <c r="C10" s="73" t="s">
        <v>21</v>
      </c>
      <c r="D10" s="62" t="s">
        <v>16</v>
      </c>
      <c r="E10" s="46" t="s">
        <v>12</v>
      </c>
      <c r="F10" s="4" t="s">
        <v>2</v>
      </c>
      <c r="G10" s="5">
        <f>SUM(G11:G14)</f>
        <v>0</v>
      </c>
      <c r="H10" s="6">
        <f>SUM(H11:H14)</f>
        <v>0</v>
      </c>
      <c r="I10" s="5">
        <f>SUM(I11:I14)</f>
        <v>0</v>
      </c>
      <c r="J10" s="5">
        <f>SUM(J11:J14)</f>
        <v>0</v>
      </c>
      <c r="K10" s="5"/>
      <c r="L10" s="5"/>
      <c r="M10" s="5">
        <f>SUM(M11:M14)</f>
        <v>0</v>
      </c>
      <c r="N10" s="5">
        <f>SUM(N11:N14)</f>
        <v>0</v>
      </c>
      <c r="O10" s="5">
        <f>SUM(O11:O14)</f>
        <v>0</v>
      </c>
      <c r="P10" s="5">
        <f>SUM(P11:P14)</f>
        <v>0</v>
      </c>
    </row>
    <row r="11" spans="2:16" ht="26.25" hidden="1" customHeight="1" x14ac:dyDescent="0.25">
      <c r="B11" s="72"/>
      <c r="C11" s="74"/>
      <c r="D11" s="62"/>
      <c r="E11" s="46"/>
      <c r="F11" s="7" t="s">
        <v>3</v>
      </c>
      <c r="G11" s="5">
        <f>SUM(H11:P11)</f>
        <v>0</v>
      </c>
      <c r="H11" s="6"/>
      <c r="I11" s="5"/>
      <c r="J11" s="5"/>
      <c r="K11" s="5"/>
      <c r="L11" s="5"/>
      <c r="M11" s="5"/>
      <c r="N11" s="5"/>
      <c r="O11" s="5"/>
      <c r="P11" s="5"/>
    </row>
    <row r="12" spans="2:16" ht="27" hidden="1" customHeight="1" x14ac:dyDescent="0.25">
      <c r="B12" s="72"/>
      <c r="C12" s="74"/>
      <c r="D12" s="62"/>
      <c r="E12" s="46"/>
      <c r="F12" s="7" t="s">
        <v>4</v>
      </c>
      <c r="G12" s="5">
        <f>SUM(H12:P12)</f>
        <v>0</v>
      </c>
      <c r="H12" s="6"/>
      <c r="I12" s="5"/>
      <c r="J12" s="5"/>
      <c r="K12" s="5"/>
      <c r="L12" s="5"/>
      <c r="M12" s="5"/>
      <c r="N12" s="5"/>
      <c r="O12" s="5"/>
      <c r="P12" s="5"/>
    </row>
    <row r="13" spans="2:16" ht="25.5" hidden="1" customHeight="1" x14ac:dyDescent="0.25">
      <c r="B13" s="72"/>
      <c r="C13" s="74"/>
      <c r="D13" s="62"/>
      <c r="E13" s="46"/>
      <c r="F13" s="7" t="s">
        <v>5</v>
      </c>
      <c r="G13" s="5">
        <f>SUM(H13:P13)</f>
        <v>0</v>
      </c>
      <c r="H13" s="6"/>
      <c r="I13" s="5"/>
      <c r="J13" s="5"/>
      <c r="K13" s="5"/>
      <c r="L13" s="5"/>
      <c r="M13" s="5"/>
      <c r="N13" s="5"/>
      <c r="O13" s="5"/>
      <c r="P13" s="5"/>
    </row>
    <row r="14" spans="2:16" ht="129.75" hidden="1" customHeight="1" x14ac:dyDescent="0.25">
      <c r="B14" s="72"/>
      <c r="C14" s="75"/>
      <c r="D14" s="62"/>
      <c r="E14" s="46"/>
      <c r="F14" s="7" t="s">
        <v>6</v>
      </c>
      <c r="G14" s="5">
        <f>SUM(H14:P14)</f>
        <v>0</v>
      </c>
      <c r="H14" s="6"/>
      <c r="I14" s="5"/>
      <c r="J14" s="5"/>
      <c r="K14" s="5"/>
      <c r="L14" s="5"/>
      <c r="M14" s="5"/>
      <c r="N14" s="5"/>
      <c r="O14" s="5"/>
      <c r="P14" s="5"/>
    </row>
    <row r="15" spans="2:16" hidden="1" x14ac:dyDescent="0.25">
      <c r="B15" s="67"/>
      <c r="C15" s="68"/>
      <c r="D15" s="68"/>
      <c r="E15" s="69"/>
      <c r="F15" s="7"/>
      <c r="G15" s="5"/>
      <c r="H15" s="6"/>
      <c r="I15" s="5"/>
      <c r="J15" s="5"/>
      <c r="K15" s="5"/>
      <c r="L15" s="5"/>
      <c r="M15" s="5"/>
      <c r="N15" s="5"/>
      <c r="O15" s="5"/>
      <c r="P15" s="5"/>
    </row>
    <row r="16" spans="2:16" ht="21" customHeight="1" x14ac:dyDescent="0.25">
      <c r="B16" s="48" t="s">
        <v>22</v>
      </c>
      <c r="C16" s="51" t="s">
        <v>28</v>
      </c>
      <c r="D16" s="45"/>
      <c r="E16" s="61" t="s">
        <v>12</v>
      </c>
      <c r="F16" s="4" t="s">
        <v>2</v>
      </c>
      <c r="G16" s="8">
        <f t="shared" ref="G16:P16" si="0">SUM(G17:G21)</f>
        <v>375832.15808000002</v>
      </c>
      <c r="H16" s="8">
        <f t="shared" si="0"/>
        <v>0</v>
      </c>
      <c r="I16" s="8">
        <f t="shared" si="0"/>
        <v>85309.088760000013</v>
      </c>
      <c r="J16" s="8">
        <f t="shared" si="0"/>
        <v>57372.179849999993</v>
      </c>
      <c r="K16" s="8">
        <f t="shared" si="0"/>
        <v>53780.135519999996</v>
      </c>
      <c r="L16" s="8">
        <f>SUM(L17:L21)</f>
        <v>52252.145520000005</v>
      </c>
      <c r="M16" s="8">
        <f>SUM(M17:M21)</f>
        <v>78947.547870000009</v>
      </c>
      <c r="N16" s="41">
        <f>SUM(N17:N21)</f>
        <v>48171.060559999998</v>
      </c>
      <c r="O16" s="8">
        <f t="shared" ref="O16" si="1">SUM(O17:O21)</f>
        <v>0</v>
      </c>
      <c r="P16" s="8">
        <f t="shared" si="0"/>
        <v>0</v>
      </c>
    </row>
    <row r="17" spans="2:16" ht="27.75" customHeight="1" x14ac:dyDescent="0.25">
      <c r="B17" s="49"/>
      <c r="C17" s="51"/>
      <c r="D17" s="45"/>
      <c r="E17" s="61"/>
      <c r="F17" s="4" t="s">
        <v>3</v>
      </c>
      <c r="G17" s="8">
        <f>SUM(I17:P17)</f>
        <v>87195.581180000008</v>
      </c>
      <c r="H17" s="8"/>
      <c r="I17" s="8">
        <f>I23+I35+I41+I47+I53+I59+I65+I71+I77+I83+I89+I95+I101+I29</f>
        <v>33056.21</v>
      </c>
      <c r="J17" s="8">
        <f t="shared" ref="J17:P17" si="2">J23+J35+J41+J47+J53+J59+J65+J71+J77+J83+J89+J95+J101+J29</f>
        <v>251.142</v>
      </c>
      <c r="K17" s="8">
        <f t="shared" si="2"/>
        <v>0</v>
      </c>
      <c r="L17" s="8">
        <f t="shared" si="2"/>
        <v>0</v>
      </c>
      <c r="M17" s="8">
        <f t="shared" si="2"/>
        <v>53888.229180000002</v>
      </c>
      <c r="N17" s="32">
        <f t="shared" si="2"/>
        <v>0</v>
      </c>
      <c r="O17" s="8">
        <f t="shared" ref="O17" si="3">O23+O35+O41+O47+O53+O59+O65+O71+O77+O83+O89+O95+O101+O29</f>
        <v>0</v>
      </c>
      <c r="P17" s="8">
        <f t="shared" si="2"/>
        <v>0</v>
      </c>
    </row>
    <row r="18" spans="2:16" ht="27.75" customHeight="1" x14ac:dyDescent="0.25">
      <c r="B18" s="49"/>
      <c r="C18" s="51"/>
      <c r="D18" s="45"/>
      <c r="E18" s="61"/>
      <c r="F18" s="4" t="s">
        <v>4</v>
      </c>
      <c r="G18" s="8">
        <f>SUM(I18:P18)</f>
        <v>32080.818550000004</v>
      </c>
      <c r="H18" s="8"/>
      <c r="I18" s="8">
        <f>I24+I36+I42+I48+I54+I60+I66+I72+I78+I84+I90+I96+I102+I30</f>
        <v>1500</v>
      </c>
      <c r="J18" s="8">
        <f t="shared" ref="J18:P18" si="4">J24+J36+J42+J48+J54+J60+J66+J72+J78+J84+J90+J96+J102+J30</f>
        <v>10389.693000000001</v>
      </c>
      <c r="K18" s="8">
        <f t="shared" si="4"/>
        <v>1853.8</v>
      </c>
      <c r="L18" s="8">
        <f t="shared" si="4"/>
        <v>15000</v>
      </c>
      <c r="M18" s="8">
        <f t="shared" si="4"/>
        <v>3337.32555</v>
      </c>
      <c r="N18" s="32">
        <f t="shared" si="4"/>
        <v>0</v>
      </c>
      <c r="O18" s="8">
        <f t="shared" ref="O18" si="5">O24+O36+O42+O48+O54+O60+O66+O72+O78+O84+O90+O96+O102+O30</f>
        <v>0</v>
      </c>
      <c r="P18" s="8">
        <f t="shared" si="4"/>
        <v>0</v>
      </c>
    </row>
    <row r="19" spans="2:16" ht="27.75" customHeight="1" x14ac:dyDescent="0.25">
      <c r="B19" s="49"/>
      <c r="C19" s="51"/>
      <c r="D19" s="45"/>
      <c r="E19" s="61"/>
      <c r="F19" s="9" t="s">
        <v>62</v>
      </c>
      <c r="G19" s="8">
        <f>SUM(I19:P19)</f>
        <v>75670.18316</v>
      </c>
      <c r="H19" s="8"/>
      <c r="I19" s="8">
        <f>I25+I37+I43+I49+I55+I61+I67+I73+I79+I85+I91+I97+I103+I31</f>
        <v>0</v>
      </c>
      <c r="J19" s="8">
        <f t="shared" ref="J19:P19" si="6">J25+J37+J43+J49+J55+J61+J67+J73+J79+J85+J91+J97+J103+J31</f>
        <v>0</v>
      </c>
      <c r="K19" s="8">
        <f t="shared" si="6"/>
        <v>18000</v>
      </c>
      <c r="L19" s="8">
        <f t="shared" si="6"/>
        <v>6900.9</v>
      </c>
      <c r="M19" s="8">
        <f t="shared" si="6"/>
        <v>6368</v>
      </c>
      <c r="N19" s="41">
        <f>N25+N37+N43+N49+N55+N61+N67+N73+N79+N85+N91+N97+N103+N31</f>
        <v>44401.283159999999</v>
      </c>
      <c r="O19" s="8">
        <f t="shared" ref="O19" si="7">O25+O37+O43+O49+O55+O61+O67+O73+O79+O85+O91+O97+O103+O31</f>
        <v>0</v>
      </c>
      <c r="P19" s="8">
        <f t="shared" si="6"/>
        <v>0</v>
      </c>
    </row>
    <row r="20" spans="2:16" ht="25.5" customHeight="1" x14ac:dyDescent="0.25">
      <c r="B20" s="49"/>
      <c r="C20" s="51"/>
      <c r="D20" s="45"/>
      <c r="E20" s="61"/>
      <c r="F20" s="4" t="s">
        <v>5</v>
      </c>
      <c r="G20" s="8">
        <f>SUM(I20:P20)</f>
        <v>180885.57519</v>
      </c>
      <c r="H20" s="8"/>
      <c r="I20" s="8">
        <f>I26+I38+I44+I50+I56+I62+I68+I74+I80+I86+I92+I98+I104+I32</f>
        <v>50752.878760000007</v>
      </c>
      <c r="J20" s="8">
        <f t="shared" ref="J20:P20" si="8">J26+J38+J44+J50+J56+J62+J68+J74+J80+J86+J92+J98+J104+J32</f>
        <v>46731.344849999994</v>
      </c>
      <c r="K20" s="8">
        <f t="shared" si="8"/>
        <v>33926.335519999993</v>
      </c>
      <c r="L20" s="8">
        <f t="shared" si="8"/>
        <v>30351.245520000004</v>
      </c>
      <c r="M20" s="8">
        <f t="shared" si="8"/>
        <v>15353.993140000002</v>
      </c>
      <c r="N20" s="41">
        <f>N26+N38+N44+N50+N56+N62+N68+N74+N80+N86+N92+N98+N104+N32</f>
        <v>3769.7773999999999</v>
      </c>
      <c r="O20" s="8">
        <f t="shared" ref="O20" si="9">O26+O38+O44+O50+O56+O62+O68+O74+O80+O86+O92+O98+O104+O32</f>
        <v>0</v>
      </c>
      <c r="P20" s="8">
        <f t="shared" si="8"/>
        <v>0</v>
      </c>
    </row>
    <row r="21" spans="2:16" ht="29.25" customHeight="1" x14ac:dyDescent="0.25">
      <c r="B21" s="50"/>
      <c r="C21" s="51"/>
      <c r="D21" s="45"/>
      <c r="E21" s="61"/>
      <c r="F21" s="4" t="s">
        <v>6</v>
      </c>
      <c r="G21" s="8">
        <f>SUM(I21:P21)</f>
        <v>0</v>
      </c>
      <c r="H21" s="8"/>
      <c r="I21" s="8">
        <f>I27+I39+I45+I51+I57+I63+I69+I75+I81+I87+I93+I99+I105+I33</f>
        <v>0</v>
      </c>
      <c r="J21" s="8">
        <f t="shared" ref="J21:P21" si="10">J27+J39+J45+J51+J57+J63+J69+J75+J81+J87+J93+J99+J105+J33</f>
        <v>0</v>
      </c>
      <c r="K21" s="8">
        <f t="shared" si="10"/>
        <v>0</v>
      </c>
      <c r="L21" s="8">
        <f t="shared" si="10"/>
        <v>0</v>
      </c>
      <c r="M21" s="8">
        <f t="shared" si="10"/>
        <v>0</v>
      </c>
      <c r="N21" s="32">
        <f t="shared" si="10"/>
        <v>0</v>
      </c>
      <c r="O21" s="8">
        <f t="shared" ref="O21" si="11">O27+O39+O45+O51+O57+O63+O69+O75+O81+O87+O93+O99+O105+O33</f>
        <v>0</v>
      </c>
      <c r="P21" s="8">
        <f t="shared" si="10"/>
        <v>0</v>
      </c>
    </row>
    <row r="22" spans="2:16" ht="29.25" customHeight="1" x14ac:dyDescent="0.25">
      <c r="B22" s="48" t="s">
        <v>23</v>
      </c>
      <c r="C22" s="45" t="s">
        <v>80</v>
      </c>
      <c r="D22" s="45" t="s">
        <v>76</v>
      </c>
      <c r="E22" s="46" t="s">
        <v>12</v>
      </c>
      <c r="F22" s="4" t="s">
        <v>2</v>
      </c>
      <c r="G22" s="5">
        <f t="shared" ref="G22:P22" si="12">SUM(G23:G27)</f>
        <v>119009.74423999999</v>
      </c>
      <c r="H22" s="5">
        <f t="shared" si="12"/>
        <v>0</v>
      </c>
      <c r="I22" s="21">
        <f t="shared" si="12"/>
        <v>39281.725879999998</v>
      </c>
      <c r="J22" s="21">
        <f t="shared" si="12"/>
        <v>4007.0151000000001</v>
      </c>
      <c r="K22" s="21">
        <f>SUM(K23:K27)</f>
        <v>18000</v>
      </c>
      <c r="L22" s="21">
        <f>SUM(L23:L27)</f>
        <v>6900.9</v>
      </c>
      <c r="M22" s="21">
        <f>SUM(M23:M27)</f>
        <v>6374.3743700000005</v>
      </c>
      <c r="N22" s="21">
        <f>SUM(N23:N27)</f>
        <v>44445.728889999999</v>
      </c>
      <c r="O22" s="21">
        <f t="shared" ref="O22" si="13">SUM(O23:O27)</f>
        <v>0</v>
      </c>
      <c r="P22" s="21">
        <f t="shared" si="12"/>
        <v>0</v>
      </c>
    </row>
    <row r="23" spans="2:16" ht="28.5" customHeight="1" x14ac:dyDescent="0.25">
      <c r="B23" s="49"/>
      <c r="C23" s="45"/>
      <c r="D23" s="45"/>
      <c r="E23" s="46"/>
      <c r="F23" s="7" t="s">
        <v>3</v>
      </c>
      <c r="G23" s="5">
        <f>SUM(H23:P23)</f>
        <v>32761.85</v>
      </c>
      <c r="H23" s="20"/>
      <c r="I23" s="21">
        <v>32761.85</v>
      </c>
      <c r="J23" s="21"/>
      <c r="K23" s="21"/>
      <c r="L23" s="21"/>
      <c r="M23" s="21">
        <f>53888.22918-53888.22918</f>
        <v>0</v>
      </c>
      <c r="N23" s="33">
        <v>0</v>
      </c>
      <c r="O23" s="21"/>
      <c r="P23" s="21"/>
    </row>
    <row r="24" spans="2:16" ht="29.25" customHeight="1" x14ac:dyDescent="0.25">
      <c r="B24" s="49"/>
      <c r="C24" s="45"/>
      <c r="D24" s="45"/>
      <c r="E24" s="46"/>
      <c r="F24" s="7" t="s">
        <v>4</v>
      </c>
      <c r="G24" s="5">
        <f>SUM(H24:P24)</f>
        <v>1500</v>
      </c>
      <c r="H24" s="20"/>
      <c r="I24" s="21">
        <v>1500</v>
      </c>
      <c r="J24" s="21"/>
      <c r="K24" s="21"/>
      <c r="L24" s="21"/>
      <c r="M24" s="21">
        <f>544.32555-544.32555</f>
        <v>0</v>
      </c>
      <c r="N24" s="33">
        <v>0</v>
      </c>
      <c r="O24" s="40"/>
      <c r="P24" s="21"/>
    </row>
    <row r="25" spans="2:16" ht="29.25" customHeight="1" x14ac:dyDescent="0.25">
      <c r="B25" s="49"/>
      <c r="C25" s="45"/>
      <c r="D25" s="45"/>
      <c r="E25" s="46"/>
      <c r="F25" s="10" t="s">
        <v>62</v>
      </c>
      <c r="G25" s="5">
        <f>SUM(H25:P25)</f>
        <v>75670.18316</v>
      </c>
      <c r="H25" s="20"/>
      <c r="I25" s="21"/>
      <c r="J25" s="21"/>
      <c r="K25" s="21">
        <v>18000</v>
      </c>
      <c r="L25" s="21">
        <v>6900.9</v>
      </c>
      <c r="M25" s="21">
        <v>6368</v>
      </c>
      <c r="N25" s="36">
        <f>2055.64016+42345.643</f>
        <v>44401.283159999999</v>
      </c>
      <c r="O25" s="21"/>
      <c r="P25" s="21"/>
    </row>
    <row r="26" spans="2:16" ht="29.25" customHeight="1" x14ac:dyDescent="0.25">
      <c r="B26" s="49"/>
      <c r="C26" s="45"/>
      <c r="D26" s="45"/>
      <c r="E26" s="46"/>
      <c r="F26" s="7" t="s">
        <v>5</v>
      </c>
      <c r="G26" s="5">
        <f>SUM(H26:P26)</f>
        <v>9077.7110799999991</v>
      </c>
      <c r="H26" s="20">
        <v>0</v>
      </c>
      <c r="I26" s="21">
        <v>5019.8758799999996</v>
      </c>
      <c r="J26" s="21">
        <v>4007.0151000000001</v>
      </c>
      <c r="K26" s="21"/>
      <c r="L26" s="21">
        <v>0</v>
      </c>
      <c r="M26" s="21">
        <v>6.3743699999999999</v>
      </c>
      <c r="N26" s="36">
        <f>2.05769+42.38804</f>
        <v>44.445729999999998</v>
      </c>
      <c r="O26" s="21"/>
      <c r="P26" s="21"/>
    </row>
    <row r="27" spans="2:16" ht="29.25" customHeight="1" x14ac:dyDescent="0.25">
      <c r="B27" s="50"/>
      <c r="C27" s="45"/>
      <c r="D27" s="45"/>
      <c r="E27" s="46"/>
      <c r="F27" s="7" t="s">
        <v>6</v>
      </c>
      <c r="G27" s="5">
        <f>SUM(H27:P27)</f>
        <v>0</v>
      </c>
      <c r="H27" s="20"/>
      <c r="I27" s="21"/>
      <c r="J27" s="21"/>
      <c r="K27" s="21"/>
      <c r="L27" s="21"/>
      <c r="M27" s="21">
        <v>0</v>
      </c>
      <c r="N27" s="33">
        <v>0</v>
      </c>
      <c r="O27" s="21"/>
      <c r="P27" s="21"/>
    </row>
    <row r="28" spans="2:16" ht="25.5" customHeight="1" x14ac:dyDescent="0.25">
      <c r="B28" s="48" t="s">
        <v>24</v>
      </c>
      <c r="C28" s="45" t="s">
        <v>79</v>
      </c>
      <c r="D28" s="45">
        <v>2022</v>
      </c>
      <c r="E28" s="46" t="s">
        <v>12</v>
      </c>
      <c r="F28" s="4" t="s">
        <v>2</v>
      </c>
      <c r="G28" s="5">
        <f>SUM(G29:G33)</f>
        <v>54432.554730000003</v>
      </c>
      <c r="H28" s="5">
        <f t="shared" ref="H28:P28" si="14">SUM(H29:H33)</f>
        <v>0</v>
      </c>
      <c r="I28" s="5">
        <f t="shared" si="14"/>
        <v>0</v>
      </c>
      <c r="J28" s="5">
        <f t="shared" si="14"/>
        <v>0</v>
      </c>
      <c r="K28" s="5">
        <f t="shared" si="14"/>
        <v>0</v>
      </c>
      <c r="L28" s="5">
        <f t="shared" si="14"/>
        <v>0</v>
      </c>
      <c r="M28" s="5">
        <f>SUM(M29:M33)</f>
        <v>54432.554730000003</v>
      </c>
      <c r="N28" s="39">
        <f t="shared" si="14"/>
        <v>0</v>
      </c>
      <c r="O28" s="5">
        <f t="shared" ref="O28" si="15">SUM(O29:O33)</f>
        <v>0</v>
      </c>
      <c r="P28" s="5">
        <f t="shared" si="14"/>
        <v>0</v>
      </c>
    </row>
    <row r="29" spans="2:16" ht="29.25" customHeight="1" x14ac:dyDescent="0.25">
      <c r="B29" s="49"/>
      <c r="C29" s="45"/>
      <c r="D29" s="45"/>
      <c r="E29" s="46"/>
      <c r="F29" s="7" t="s">
        <v>3</v>
      </c>
      <c r="G29" s="5">
        <f t="shared" ref="G29:G32" si="16">SUM(H29:P29)</f>
        <v>53888.229180000002</v>
      </c>
      <c r="H29" s="20"/>
      <c r="I29" s="26"/>
      <c r="J29" s="37"/>
      <c r="K29" s="37"/>
      <c r="L29" s="37"/>
      <c r="M29" s="21">
        <f>53888.22918</f>
        <v>53888.229180000002</v>
      </c>
      <c r="N29" s="36">
        <v>0</v>
      </c>
      <c r="O29" s="26"/>
      <c r="P29" s="26"/>
    </row>
    <row r="30" spans="2:16" ht="29.25" customHeight="1" x14ac:dyDescent="0.25">
      <c r="B30" s="49">
        <v>44593</v>
      </c>
      <c r="C30" s="45"/>
      <c r="D30" s="45"/>
      <c r="E30" s="46"/>
      <c r="F30" s="7" t="s">
        <v>4</v>
      </c>
      <c r="G30" s="5">
        <f t="shared" si="16"/>
        <v>544.32555000000002</v>
      </c>
      <c r="H30" s="20"/>
      <c r="I30" s="26"/>
      <c r="J30" s="37"/>
      <c r="K30" s="37"/>
      <c r="L30" s="37"/>
      <c r="M30" s="21">
        <f>544.32555</f>
        <v>544.32555000000002</v>
      </c>
      <c r="N30" s="36">
        <v>0</v>
      </c>
      <c r="O30" s="26"/>
      <c r="P30" s="26"/>
    </row>
    <row r="31" spans="2:16" ht="29.25" customHeight="1" x14ac:dyDescent="0.25">
      <c r="B31" s="49"/>
      <c r="C31" s="45"/>
      <c r="D31" s="45"/>
      <c r="E31" s="46"/>
      <c r="F31" s="10" t="s">
        <v>62</v>
      </c>
      <c r="G31" s="5">
        <f t="shared" si="16"/>
        <v>0</v>
      </c>
      <c r="H31" s="20"/>
      <c r="I31" s="26"/>
      <c r="J31" s="37"/>
      <c r="K31" s="37"/>
      <c r="L31" s="37"/>
      <c r="M31" s="21">
        <v>0</v>
      </c>
      <c r="N31" s="36">
        <v>0</v>
      </c>
      <c r="O31" s="26"/>
      <c r="P31" s="26"/>
    </row>
    <row r="32" spans="2:16" ht="29.25" customHeight="1" x14ac:dyDescent="0.25">
      <c r="B32" s="49"/>
      <c r="C32" s="45"/>
      <c r="D32" s="45"/>
      <c r="E32" s="46"/>
      <c r="F32" s="7" t="s">
        <v>5</v>
      </c>
      <c r="G32" s="5">
        <f t="shared" si="16"/>
        <v>0</v>
      </c>
      <c r="H32" s="20"/>
      <c r="I32" s="26"/>
      <c r="J32" s="26"/>
      <c r="K32" s="26"/>
      <c r="L32" s="26"/>
      <c r="M32" s="21">
        <v>0</v>
      </c>
      <c r="N32" s="38">
        <v>0</v>
      </c>
      <c r="O32" s="26"/>
      <c r="P32" s="26"/>
    </row>
    <row r="33" spans="2:16" ht="29.25" customHeight="1" x14ac:dyDescent="0.25">
      <c r="B33" s="50"/>
      <c r="C33" s="45"/>
      <c r="D33" s="45"/>
      <c r="E33" s="46"/>
      <c r="F33" s="7" t="s">
        <v>6</v>
      </c>
      <c r="G33" s="5"/>
      <c r="H33" s="20"/>
      <c r="I33" s="26"/>
      <c r="J33" s="26"/>
      <c r="K33" s="26"/>
      <c r="L33" s="26"/>
      <c r="M33" s="21">
        <v>0</v>
      </c>
      <c r="N33" s="35">
        <v>0</v>
      </c>
      <c r="O33" s="26"/>
      <c r="P33" s="26"/>
    </row>
    <row r="34" spans="2:16" ht="22.5" customHeight="1" x14ac:dyDescent="0.25">
      <c r="B34" s="48" t="s">
        <v>25</v>
      </c>
      <c r="C34" s="45" t="s">
        <v>82</v>
      </c>
      <c r="D34" s="45" t="s">
        <v>86</v>
      </c>
      <c r="E34" s="46" t="s">
        <v>12</v>
      </c>
      <c r="F34" s="4" t="s">
        <v>2</v>
      </c>
      <c r="G34" s="5">
        <f t="shared" ref="G34:P34" si="17">SUM(G35:G39)</f>
        <v>2088.0330800000002</v>
      </c>
      <c r="H34" s="5">
        <f t="shared" si="17"/>
        <v>0</v>
      </c>
      <c r="I34" s="22">
        <f t="shared" si="17"/>
        <v>497.53212000000002</v>
      </c>
      <c r="J34" s="22">
        <f t="shared" si="17"/>
        <v>435.11932999999999</v>
      </c>
      <c r="K34" s="22">
        <f t="shared" si="17"/>
        <v>0</v>
      </c>
      <c r="L34" s="22">
        <f t="shared" si="17"/>
        <v>138</v>
      </c>
      <c r="M34" s="22">
        <f>SUM(M35:M39)</f>
        <v>1017.3816300000001</v>
      </c>
      <c r="N34" s="22">
        <f>SUM(N35:N39)</f>
        <v>0</v>
      </c>
      <c r="O34" s="22">
        <f t="shared" ref="O34" si="18">SUM(O35:O39)</f>
        <v>0</v>
      </c>
      <c r="P34" s="22">
        <f t="shared" si="17"/>
        <v>0</v>
      </c>
    </row>
    <row r="35" spans="2:16" ht="29.25" customHeight="1" x14ac:dyDescent="0.25">
      <c r="B35" s="49"/>
      <c r="C35" s="45"/>
      <c r="D35" s="45"/>
      <c r="E35" s="46"/>
      <c r="F35" s="7" t="s">
        <v>3</v>
      </c>
      <c r="G35" s="5">
        <f>SUM(H35:P35)</f>
        <v>545.50199999999995</v>
      </c>
      <c r="H35" s="5"/>
      <c r="I35" s="5">
        <f>100+130+64.36</f>
        <v>294.36</v>
      </c>
      <c r="J35" s="5">
        <f>95+95+61.142</f>
        <v>251.142</v>
      </c>
      <c r="K35" s="5"/>
      <c r="L35" s="5"/>
      <c r="M35" s="5">
        <v>0</v>
      </c>
      <c r="N35" s="5">
        <v>0</v>
      </c>
      <c r="O35" s="5"/>
      <c r="P35" s="5"/>
    </row>
    <row r="36" spans="2:16" ht="29.25" customHeight="1" x14ac:dyDescent="0.25">
      <c r="B36" s="49"/>
      <c r="C36" s="45"/>
      <c r="D36" s="45"/>
      <c r="E36" s="46"/>
      <c r="F36" s="7" t="s">
        <v>4</v>
      </c>
      <c r="G36" s="5">
        <f>SUM(H36:P36)</f>
        <v>13.218</v>
      </c>
      <c r="H36" s="5"/>
      <c r="I36" s="11"/>
      <c r="J36" s="12">
        <f>5+5+3.218</f>
        <v>13.218</v>
      </c>
      <c r="K36" s="13"/>
      <c r="L36" s="13"/>
      <c r="M36" s="43">
        <f>2793-2793</f>
        <v>0</v>
      </c>
      <c r="N36" s="43">
        <v>0</v>
      </c>
      <c r="O36" s="14"/>
      <c r="P36" s="14"/>
    </row>
    <row r="37" spans="2:16" ht="29.25" customHeight="1" x14ac:dyDescent="0.25">
      <c r="B37" s="49"/>
      <c r="C37" s="45"/>
      <c r="D37" s="45"/>
      <c r="E37" s="46"/>
      <c r="F37" s="10" t="s">
        <v>62</v>
      </c>
      <c r="G37" s="5">
        <f>SUM(H37:P37)</f>
        <v>0</v>
      </c>
      <c r="H37" s="5"/>
      <c r="I37" s="11"/>
      <c r="J37" s="12"/>
      <c r="K37" s="13"/>
      <c r="L37" s="13"/>
      <c r="M37" s="43">
        <v>0</v>
      </c>
      <c r="N37" s="43">
        <v>0</v>
      </c>
      <c r="O37" s="14"/>
      <c r="P37" s="14"/>
    </row>
    <row r="38" spans="2:16" ht="29.25" customHeight="1" x14ac:dyDescent="0.25">
      <c r="B38" s="49"/>
      <c r="C38" s="45"/>
      <c r="D38" s="45"/>
      <c r="E38" s="46"/>
      <c r="F38" s="7" t="s">
        <v>5</v>
      </c>
      <c r="G38" s="5">
        <f>SUM(H38:P38)</f>
        <v>1529.3130800000001</v>
      </c>
      <c r="H38" s="5">
        <v>0</v>
      </c>
      <c r="I38" s="5">
        <f>103.17212+100</f>
        <v>203.17212000000001</v>
      </c>
      <c r="J38" s="5">
        <f>0.001+70.75833+100</f>
        <v>170.75933000000001</v>
      </c>
      <c r="K38" s="5"/>
      <c r="L38" s="5">
        <f>138</f>
        <v>138</v>
      </c>
      <c r="M38" s="27">
        <f>169.95563+847.426</f>
        <v>1017.3816300000001</v>
      </c>
      <c r="N38" s="5">
        <v>0</v>
      </c>
      <c r="O38" s="5"/>
      <c r="P38" s="5"/>
    </row>
    <row r="39" spans="2:16" ht="29.25" customHeight="1" x14ac:dyDescent="0.25">
      <c r="B39" s="50"/>
      <c r="C39" s="45"/>
      <c r="D39" s="45"/>
      <c r="E39" s="46"/>
      <c r="F39" s="7" t="s">
        <v>6</v>
      </c>
      <c r="G39" s="5">
        <f>SUM(H39:P39)</f>
        <v>0</v>
      </c>
      <c r="H39" s="5"/>
      <c r="I39" s="5"/>
      <c r="J39" s="5"/>
      <c r="K39" s="5"/>
      <c r="L39" s="5"/>
      <c r="M39" s="5">
        <v>0</v>
      </c>
      <c r="N39" s="5">
        <v>0</v>
      </c>
      <c r="O39" s="5"/>
      <c r="P39" s="5"/>
    </row>
    <row r="40" spans="2:16" ht="23.25" customHeight="1" x14ac:dyDescent="0.25">
      <c r="B40" s="48" t="s">
        <v>29</v>
      </c>
      <c r="C40" s="45" t="s">
        <v>67</v>
      </c>
      <c r="D40" s="45" t="s">
        <v>77</v>
      </c>
      <c r="E40" s="46" t="s">
        <v>12</v>
      </c>
      <c r="F40" s="4" t="s">
        <v>2</v>
      </c>
      <c r="G40" s="5">
        <f t="shared" ref="G40:P40" si="19">SUM(G41:G45)</f>
        <v>20880.605520000001</v>
      </c>
      <c r="H40" s="5">
        <f t="shared" si="19"/>
        <v>0</v>
      </c>
      <c r="I40" s="5">
        <f t="shared" si="19"/>
        <v>0</v>
      </c>
      <c r="J40" s="5">
        <f t="shared" si="19"/>
        <v>0</v>
      </c>
      <c r="K40" s="5">
        <f t="shared" si="19"/>
        <v>250</v>
      </c>
      <c r="L40" s="5">
        <f t="shared" si="19"/>
        <v>15977.605519999999</v>
      </c>
      <c r="M40" s="5">
        <f>SUM(M41:M45)</f>
        <v>4653</v>
      </c>
      <c r="N40" s="5">
        <f>SUM(N41:N45)</f>
        <v>0</v>
      </c>
      <c r="O40" s="5">
        <f t="shared" ref="O40" si="20">SUM(O41:O45)</f>
        <v>0</v>
      </c>
      <c r="P40" s="5">
        <f t="shared" si="19"/>
        <v>0</v>
      </c>
    </row>
    <row r="41" spans="2:16" ht="29.25" customHeight="1" x14ac:dyDescent="0.25">
      <c r="B41" s="49"/>
      <c r="C41" s="45"/>
      <c r="D41" s="45"/>
      <c r="E41" s="46"/>
      <c r="F41" s="7" t="s">
        <v>3</v>
      </c>
      <c r="G41" s="5">
        <f>SUM(H41:P41)</f>
        <v>0</v>
      </c>
      <c r="H41" s="5"/>
      <c r="I41" s="5"/>
      <c r="J41" s="5"/>
      <c r="K41" s="5"/>
      <c r="L41" s="5"/>
      <c r="M41" s="5">
        <v>0</v>
      </c>
      <c r="N41" s="5">
        <v>0</v>
      </c>
      <c r="O41" s="5"/>
      <c r="P41" s="5"/>
    </row>
    <row r="42" spans="2:16" ht="29.25" customHeight="1" x14ac:dyDescent="0.25">
      <c r="B42" s="49"/>
      <c r="C42" s="45"/>
      <c r="D42" s="45"/>
      <c r="E42" s="46"/>
      <c r="F42" s="7" t="s">
        <v>4</v>
      </c>
      <c r="G42" s="5">
        <f>SUM(H42:P42)</f>
        <v>17793</v>
      </c>
      <c r="H42" s="5"/>
      <c r="I42" s="5"/>
      <c r="J42" s="5"/>
      <c r="K42" s="5"/>
      <c r="L42" s="5">
        <v>15000</v>
      </c>
      <c r="M42" s="5">
        <v>2793</v>
      </c>
      <c r="N42" s="5">
        <v>0</v>
      </c>
      <c r="O42" s="5"/>
      <c r="P42" s="5"/>
    </row>
    <row r="43" spans="2:16" ht="29.25" customHeight="1" x14ac:dyDescent="0.25">
      <c r="B43" s="49"/>
      <c r="C43" s="45"/>
      <c r="D43" s="45"/>
      <c r="E43" s="46"/>
      <c r="F43" s="10" t="s">
        <v>62</v>
      </c>
      <c r="G43" s="5">
        <f>SUM(H43:P43)</f>
        <v>0</v>
      </c>
      <c r="H43" s="5"/>
      <c r="I43" s="5"/>
      <c r="J43" s="5"/>
      <c r="K43" s="5"/>
      <c r="L43" s="5"/>
      <c r="M43" s="5">
        <v>0</v>
      </c>
      <c r="N43" s="5">
        <v>0</v>
      </c>
      <c r="O43" s="5"/>
      <c r="P43" s="5"/>
    </row>
    <row r="44" spans="2:16" ht="29.25" customHeight="1" x14ac:dyDescent="0.25">
      <c r="B44" s="49"/>
      <c r="C44" s="45"/>
      <c r="D44" s="45"/>
      <c r="E44" s="46"/>
      <c r="F44" s="7" t="s">
        <v>5</v>
      </c>
      <c r="G44" s="5">
        <f>SUM(H44:P44)</f>
        <v>3087.6055200000001</v>
      </c>
      <c r="H44" s="5">
        <v>0</v>
      </c>
      <c r="I44" s="5"/>
      <c r="J44" s="5"/>
      <c r="K44" s="5">
        <v>250</v>
      </c>
      <c r="L44" s="5">
        <f>188.13184+789.47368</f>
        <v>977.60551999999996</v>
      </c>
      <c r="M44" s="5">
        <v>1860</v>
      </c>
      <c r="N44" s="5">
        <v>0</v>
      </c>
      <c r="O44" s="5"/>
      <c r="P44" s="5"/>
    </row>
    <row r="45" spans="2:16" ht="61.5" customHeight="1" x14ac:dyDescent="0.25">
      <c r="B45" s="50"/>
      <c r="C45" s="45"/>
      <c r="D45" s="45"/>
      <c r="E45" s="46"/>
      <c r="F45" s="7" t="s">
        <v>6</v>
      </c>
      <c r="G45" s="5">
        <f>SUM(H45:P45)</f>
        <v>0</v>
      </c>
      <c r="H45" s="5"/>
      <c r="I45" s="5"/>
      <c r="J45" s="5"/>
      <c r="K45" s="5"/>
      <c r="L45" s="5"/>
      <c r="M45" s="5">
        <v>0</v>
      </c>
      <c r="N45" s="5">
        <v>0</v>
      </c>
      <c r="O45" s="5"/>
      <c r="P45" s="5"/>
    </row>
    <row r="46" spans="2:16" ht="25.5" customHeight="1" x14ac:dyDescent="0.25">
      <c r="B46" s="48" t="s">
        <v>30</v>
      </c>
      <c r="C46" s="45" t="s">
        <v>36</v>
      </c>
      <c r="D46" s="45" t="s">
        <v>87</v>
      </c>
      <c r="E46" s="46" t="s">
        <v>12</v>
      </c>
      <c r="F46" s="4" t="s">
        <v>2</v>
      </c>
      <c r="G46" s="5">
        <f t="shared" ref="G46:P46" si="21">SUM(G47:G51)</f>
        <v>36030.765800000001</v>
      </c>
      <c r="H46" s="5">
        <f t="shared" si="21"/>
        <v>0</v>
      </c>
      <c r="I46" s="5">
        <f t="shared" si="21"/>
        <v>16379.82015</v>
      </c>
      <c r="J46" s="5">
        <f t="shared" si="21"/>
        <v>0</v>
      </c>
      <c r="K46" s="5">
        <f t="shared" si="21"/>
        <v>1951.36842</v>
      </c>
      <c r="L46" s="5">
        <f>SUM(L47:L51)</f>
        <v>12790.7</v>
      </c>
      <c r="M46" s="5">
        <f>SUM(M47:M51)</f>
        <v>2520.4083500000002</v>
      </c>
      <c r="N46" s="5">
        <f>SUM(N47:N51)</f>
        <v>2388.4688799999999</v>
      </c>
      <c r="O46" s="5">
        <f t="shared" ref="O46" si="22">SUM(O47:O51)</f>
        <v>0</v>
      </c>
      <c r="P46" s="5">
        <f t="shared" si="21"/>
        <v>0</v>
      </c>
    </row>
    <row r="47" spans="2:16" ht="35.25" customHeight="1" x14ac:dyDescent="0.25">
      <c r="B47" s="49"/>
      <c r="C47" s="45"/>
      <c r="D47" s="45"/>
      <c r="E47" s="46"/>
      <c r="F47" s="7" t="s">
        <v>3</v>
      </c>
      <c r="G47" s="5">
        <f>SUM(H47:P47)</f>
        <v>0</v>
      </c>
      <c r="H47" s="5"/>
      <c r="I47" s="5"/>
      <c r="J47" s="5"/>
      <c r="K47" s="5"/>
      <c r="L47" s="5"/>
      <c r="M47" s="5">
        <v>0</v>
      </c>
      <c r="N47" s="5">
        <v>0</v>
      </c>
      <c r="O47" s="5"/>
      <c r="P47" s="5"/>
    </row>
    <row r="48" spans="2:16" ht="29.25" customHeight="1" x14ac:dyDescent="0.25">
      <c r="B48" s="49"/>
      <c r="C48" s="45"/>
      <c r="D48" s="45"/>
      <c r="E48" s="46"/>
      <c r="F48" s="7" t="s">
        <v>4</v>
      </c>
      <c r="G48" s="5">
        <f>SUM(H48:P48)</f>
        <v>1853.8</v>
      </c>
      <c r="H48" s="5"/>
      <c r="I48" s="5"/>
      <c r="J48" s="5"/>
      <c r="K48" s="5">
        <v>1853.8</v>
      </c>
      <c r="L48" s="5"/>
      <c r="M48" s="5">
        <v>0</v>
      </c>
      <c r="N48" s="5">
        <v>0</v>
      </c>
      <c r="O48" s="5"/>
      <c r="P48" s="5"/>
    </row>
    <row r="49" spans="2:16" ht="29.25" customHeight="1" x14ac:dyDescent="0.25">
      <c r="B49" s="49"/>
      <c r="C49" s="45"/>
      <c r="D49" s="45"/>
      <c r="E49" s="46"/>
      <c r="F49" s="10" t="s">
        <v>62</v>
      </c>
      <c r="G49" s="5">
        <f>SUM(H49:P49)</f>
        <v>0</v>
      </c>
      <c r="H49" s="5"/>
      <c r="I49" s="5"/>
      <c r="J49" s="5"/>
      <c r="K49" s="5"/>
      <c r="L49" s="5"/>
      <c r="M49" s="5">
        <v>0</v>
      </c>
      <c r="N49" s="5">
        <v>0</v>
      </c>
      <c r="O49" s="5"/>
      <c r="P49" s="5"/>
    </row>
    <row r="50" spans="2:16" ht="29.25" customHeight="1" x14ac:dyDescent="0.25">
      <c r="B50" s="49"/>
      <c r="C50" s="45"/>
      <c r="D50" s="45"/>
      <c r="E50" s="46"/>
      <c r="F50" s="7" t="s">
        <v>5</v>
      </c>
      <c r="G50" s="5">
        <f>SUM(H50:P50)</f>
        <v>34176.965799999998</v>
      </c>
      <c r="H50" s="5">
        <v>0</v>
      </c>
      <c r="I50" s="5">
        <f>6112.74+5801.40796+4465.67219</f>
        <v>16379.82015</v>
      </c>
      <c r="J50" s="5"/>
      <c r="K50" s="5">
        <v>97.568420000000003</v>
      </c>
      <c r="L50" s="5">
        <f>12790.7</f>
        <v>12790.7</v>
      </c>
      <c r="M50" s="5">
        <v>2520.4083500000002</v>
      </c>
      <c r="N50" s="5">
        <v>2388.4688799999999</v>
      </c>
      <c r="O50" s="5"/>
      <c r="P50" s="5"/>
    </row>
    <row r="51" spans="2:16" ht="29.25" customHeight="1" x14ac:dyDescent="0.25">
      <c r="B51" s="50"/>
      <c r="C51" s="45"/>
      <c r="D51" s="45"/>
      <c r="E51" s="46"/>
      <c r="F51" s="7" t="s">
        <v>6</v>
      </c>
      <c r="G51" s="5">
        <f>SUM(H51:P51)</f>
        <v>0</v>
      </c>
      <c r="H51" s="5"/>
      <c r="I51" s="5"/>
      <c r="J51" s="5"/>
      <c r="K51" s="5"/>
      <c r="L51" s="5"/>
      <c r="M51" s="5">
        <v>0</v>
      </c>
      <c r="N51" s="5">
        <v>0</v>
      </c>
      <c r="O51" s="5"/>
      <c r="P51" s="5"/>
    </row>
    <row r="52" spans="2:16" ht="29.25" customHeight="1" x14ac:dyDescent="0.25">
      <c r="B52" s="48" t="s">
        <v>31</v>
      </c>
      <c r="C52" s="45" t="s">
        <v>59</v>
      </c>
      <c r="D52" s="45" t="s">
        <v>83</v>
      </c>
      <c r="E52" s="46" t="s">
        <v>12</v>
      </c>
      <c r="F52" s="4" t="s">
        <v>2</v>
      </c>
      <c r="G52" s="5">
        <f t="shared" ref="G52:P52" si="23">SUM(G53:G57)</f>
        <v>33991.438549999999</v>
      </c>
      <c r="H52" s="5">
        <f t="shared" si="23"/>
        <v>0</v>
      </c>
      <c r="I52" s="5">
        <f t="shared" si="23"/>
        <v>4426.9140000000007</v>
      </c>
      <c r="J52" s="5">
        <f t="shared" si="23"/>
        <v>13915.910550000001</v>
      </c>
      <c r="K52" s="5">
        <f t="shared" si="23"/>
        <v>15648.613999999996</v>
      </c>
      <c r="L52" s="5">
        <f t="shared" si="23"/>
        <v>0</v>
      </c>
      <c r="M52" s="5">
        <f>SUM(M53:M57)</f>
        <v>0</v>
      </c>
      <c r="N52" s="5">
        <f>SUM(N53:N57)</f>
        <v>0</v>
      </c>
      <c r="O52" s="5">
        <f t="shared" ref="O52" si="24">SUM(O53:O57)</f>
        <v>0</v>
      </c>
      <c r="P52" s="5">
        <f t="shared" si="23"/>
        <v>0</v>
      </c>
    </row>
    <row r="53" spans="2:16" ht="29.25" customHeight="1" x14ac:dyDescent="0.25">
      <c r="B53" s="49"/>
      <c r="C53" s="45"/>
      <c r="D53" s="45"/>
      <c r="E53" s="46"/>
      <c r="F53" s="7" t="s">
        <v>3</v>
      </c>
      <c r="G53" s="5">
        <f>SUM(H53:P53)</f>
        <v>0</v>
      </c>
      <c r="H53" s="5"/>
      <c r="I53" s="5"/>
      <c r="J53" s="5"/>
      <c r="K53" s="5"/>
      <c r="L53" s="5"/>
      <c r="M53" s="5">
        <v>0</v>
      </c>
      <c r="N53" s="5">
        <v>0</v>
      </c>
      <c r="O53" s="5"/>
      <c r="P53" s="5"/>
    </row>
    <row r="54" spans="2:16" ht="29.25" customHeight="1" x14ac:dyDescent="0.25">
      <c r="B54" s="49"/>
      <c r="C54" s="45"/>
      <c r="D54" s="45"/>
      <c r="E54" s="46"/>
      <c r="F54" s="7" t="s">
        <v>4</v>
      </c>
      <c r="G54" s="5">
        <f>SUM(H54:P54)</f>
        <v>0</v>
      </c>
      <c r="H54" s="5"/>
      <c r="I54" s="5"/>
      <c r="J54" s="5"/>
      <c r="K54" s="5"/>
      <c r="L54" s="5"/>
      <c r="M54" s="5">
        <v>0</v>
      </c>
      <c r="N54" s="5">
        <v>0</v>
      </c>
      <c r="O54" s="5"/>
      <c r="P54" s="5"/>
    </row>
    <row r="55" spans="2:16" ht="29.25" customHeight="1" x14ac:dyDescent="0.25">
      <c r="B55" s="49"/>
      <c r="C55" s="45"/>
      <c r="D55" s="45"/>
      <c r="E55" s="46"/>
      <c r="F55" s="10" t="s">
        <v>62</v>
      </c>
      <c r="G55" s="5">
        <f>SUM(H55:P55)</f>
        <v>0</v>
      </c>
      <c r="H55" s="5"/>
      <c r="I55" s="5"/>
      <c r="J55" s="5"/>
      <c r="K55" s="5"/>
      <c r="L55" s="5"/>
      <c r="M55" s="5">
        <v>0</v>
      </c>
      <c r="N55" s="5">
        <v>0</v>
      </c>
      <c r="O55" s="5"/>
      <c r="P55" s="5"/>
    </row>
    <row r="56" spans="2:16" ht="29.25" customHeight="1" x14ac:dyDescent="0.25">
      <c r="B56" s="49"/>
      <c r="C56" s="45"/>
      <c r="D56" s="45"/>
      <c r="E56" s="46"/>
      <c r="F56" s="7" t="s">
        <v>5</v>
      </c>
      <c r="G56" s="5">
        <f>SUM(H56:P56)</f>
        <v>33991.438549999999</v>
      </c>
      <c r="H56" s="5">
        <v>0</v>
      </c>
      <c r="I56" s="5">
        <f>3233.93+100+36+67.479+96.424+99.599+96.804+96.804+99.979+99.979+99.979+99.979+99.979+99.979</f>
        <v>4426.9140000000007</v>
      </c>
      <c r="J56" s="5">
        <f>3020.45981+7244.24874+80.725+80.725+77.625+84.375+77.355+84.375+84.375+84.375+81.945+79.785+85.59+1464.362+85.59+1200</f>
        <v>13915.910550000001</v>
      </c>
      <c r="K56" s="5">
        <f>82.912+549.987+12684.983+139.764+139.764+137.801+137.801+137.801+137.801+1500</f>
        <v>15648.613999999996</v>
      </c>
      <c r="L56" s="5">
        <v>0</v>
      </c>
      <c r="M56" s="5">
        <v>0</v>
      </c>
      <c r="N56" s="5">
        <v>0</v>
      </c>
      <c r="O56" s="5"/>
      <c r="P56" s="5"/>
    </row>
    <row r="57" spans="2:16" ht="29.25" customHeight="1" x14ac:dyDescent="0.25">
      <c r="B57" s="50"/>
      <c r="C57" s="45"/>
      <c r="D57" s="45"/>
      <c r="E57" s="46"/>
      <c r="F57" s="7" t="s">
        <v>6</v>
      </c>
      <c r="G57" s="5">
        <f>SUM(H57:P57)</f>
        <v>0</v>
      </c>
      <c r="H57" s="5"/>
      <c r="I57" s="5"/>
      <c r="J57" s="5"/>
      <c r="K57" s="5"/>
      <c r="L57" s="5"/>
      <c r="M57" s="5">
        <v>0</v>
      </c>
      <c r="N57" s="5">
        <v>0</v>
      </c>
      <c r="O57" s="5"/>
      <c r="P57" s="5"/>
    </row>
    <row r="58" spans="2:16" ht="29.25" customHeight="1" x14ac:dyDescent="0.25">
      <c r="B58" s="48" t="s">
        <v>32</v>
      </c>
      <c r="C58" s="45" t="s">
        <v>66</v>
      </c>
      <c r="D58" s="45" t="s">
        <v>56</v>
      </c>
      <c r="E58" s="46" t="s">
        <v>12</v>
      </c>
      <c r="F58" s="4" t="s">
        <v>2</v>
      </c>
      <c r="G58" s="5">
        <f t="shared" ref="G58:P58" si="25">SUM(G59:G63)</f>
        <v>4760.8014999999996</v>
      </c>
      <c r="H58" s="5">
        <f t="shared" si="25"/>
        <v>0</v>
      </c>
      <c r="I58" s="5">
        <f t="shared" si="25"/>
        <v>0</v>
      </c>
      <c r="J58" s="5">
        <f t="shared" si="25"/>
        <v>4057.2203799999997</v>
      </c>
      <c r="K58" s="5">
        <f t="shared" si="25"/>
        <v>703.58112000000006</v>
      </c>
      <c r="L58" s="5">
        <f t="shared" si="25"/>
        <v>0</v>
      </c>
      <c r="M58" s="5">
        <f>SUM(M59:M63)</f>
        <v>0</v>
      </c>
      <c r="N58" s="5">
        <f>SUM(N59:N63)</f>
        <v>0</v>
      </c>
      <c r="O58" s="5">
        <f t="shared" ref="O58" si="26">SUM(O59:O63)</f>
        <v>0</v>
      </c>
      <c r="P58" s="5">
        <f t="shared" si="25"/>
        <v>0</v>
      </c>
    </row>
    <row r="59" spans="2:16" ht="29.25" customHeight="1" x14ac:dyDescent="0.25">
      <c r="B59" s="49"/>
      <c r="C59" s="45"/>
      <c r="D59" s="45"/>
      <c r="E59" s="46"/>
      <c r="F59" s="7" t="s">
        <v>3</v>
      </c>
      <c r="G59" s="5">
        <f>SUM(H59:P59)</f>
        <v>0</v>
      </c>
      <c r="H59" s="5"/>
      <c r="I59" s="5"/>
      <c r="J59" s="5"/>
      <c r="K59" s="5"/>
      <c r="L59" s="5"/>
      <c r="M59" s="5">
        <v>0</v>
      </c>
      <c r="N59" s="5">
        <v>0</v>
      </c>
      <c r="O59" s="5"/>
      <c r="P59" s="5"/>
    </row>
    <row r="60" spans="2:16" ht="29.25" customHeight="1" x14ac:dyDescent="0.25">
      <c r="B60" s="49"/>
      <c r="C60" s="45"/>
      <c r="D60" s="45"/>
      <c r="E60" s="46"/>
      <c r="F60" s="7" t="s">
        <v>4</v>
      </c>
      <c r="G60" s="5">
        <f>SUM(H60:P60)</f>
        <v>0</v>
      </c>
      <c r="H60" s="5"/>
      <c r="I60" s="5"/>
      <c r="J60" s="5"/>
      <c r="K60" s="5"/>
      <c r="L60" s="5"/>
      <c r="M60" s="5">
        <v>0</v>
      </c>
      <c r="N60" s="5">
        <v>0</v>
      </c>
      <c r="O60" s="5"/>
      <c r="P60" s="5"/>
    </row>
    <row r="61" spans="2:16" ht="29.25" customHeight="1" x14ac:dyDescent="0.25">
      <c r="B61" s="49"/>
      <c r="C61" s="45"/>
      <c r="D61" s="45"/>
      <c r="E61" s="46"/>
      <c r="F61" s="10" t="s">
        <v>62</v>
      </c>
      <c r="G61" s="5">
        <f>SUM(H61:P61)</f>
        <v>0</v>
      </c>
      <c r="H61" s="5"/>
      <c r="I61" s="5"/>
      <c r="J61" s="5"/>
      <c r="K61" s="5"/>
      <c r="L61" s="5"/>
      <c r="M61" s="5">
        <v>0</v>
      </c>
      <c r="N61" s="5">
        <v>0</v>
      </c>
      <c r="O61" s="5"/>
      <c r="P61" s="5"/>
    </row>
    <row r="62" spans="2:16" ht="29.25" customHeight="1" x14ac:dyDescent="0.25">
      <c r="B62" s="49"/>
      <c r="C62" s="45"/>
      <c r="D62" s="45"/>
      <c r="E62" s="46"/>
      <c r="F62" s="7" t="s">
        <v>5</v>
      </c>
      <c r="G62" s="5">
        <f>SUM(H62:P62)</f>
        <v>4760.8014999999996</v>
      </c>
      <c r="H62" s="5">
        <v>0</v>
      </c>
      <c r="I62" s="5"/>
      <c r="J62" s="5">
        <f>406.29275+3551.98523+98.9424</f>
        <v>4057.2203799999997</v>
      </c>
      <c r="K62" s="5">
        <f>445.08742+258.4937</f>
        <v>703.58112000000006</v>
      </c>
      <c r="L62" s="5">
        <v>0</v>
      </c>
      <c r="M62" s="5">
        <v>0</v>
      </c>
      <c r="N62" s="5">
        <v>0</v>
      </c>
      <c r="O62" s="5"/>
      <c r="P62" s="5"/>
    </row>
    <row r="63" spans="2:16" ht="29.25" customHeight="1" x14ac:dyDescent="0.25">
      <c r="B63" s="50"/>
      <c r="C63" s="45"/>
      <c r="D63" s="45"/>
      <c r="E63" s="46"/>
      <c r="F63" s="7" t="s">
        <v>6</v>
      </c>
      <c r="G63" s="5">
        <f>SUM(H63:P63)</f>
        <v>0</v>
      </c>
      <c r="H63" s="5"/>
      <c r="I63" s="5"/>
      <c r="J63" s="5"/>
      <c r="K63" s="5"/>
      <c r="L63" s="5"/>
      <c r="M63" s="5">
        <v>0</v>
      </c>
      <c r="N63" s="5">
        <v>0</v>
      </c>
      <c r="O63" s="5"/>
      <c r="P63" s="5"/>
    </row>
    <row r="64" spans="2:16" ht="29.25" customHeight="1" x14ac:dyDescent="0.25">
      <c r="B64" s="48" t="s">
        <v>33</v>
      </c>
      <c r="C64" s="45" t="s">
        <v>40</v>
      </c>
      <c r="D64" s="45" t="s">
        <v>88</v>
      </c>
      <c r="E64" s="46" t="s">
        <v>12</v>
      </c>
      <c r="F64" s="4" t="s">
        <v>2</v>
      </c>
      <c r="G64" s="5">
        <f t="shared" ref="G64:P64" si="27">SUM(G65:G69)</f>
        <v>18344.636770000001</v>
      </c>
      <c r="H64" s="5">
        <f t="shared" si="27"/>
        <v>0</v>
      </c>
      <c r="I64" s="5">
        <f t="shared" si="27"/>
        <v>7577.2937700000002</v>
      </c>
      <c r="J64" s="5">
        <f t="shared" si="27"/>
        <v>0</v>
      </c>
      <c r="K64" s="5">
        <f t="shared" si="27"/>
        <v>6197.3429999999998</v>
      </c>
      <c r="L64" s="5">
        <f t="shared" si="27"/>
        <v>4570</v>
      </c>
      <c r="M64" s="5">
        <f>SUM(M65:M69)</f>
        <v>0</v>
      </c>
      <c r="N64" s="5">
        <f>SUM(N65:N69)</f>
        <v>0</v>
      </c>
      <c r="O64" s="5">
        <f t="shared" ref="O64" si="28">SUM(O65:O69)</f>
        <v>0</v>
      </c>
      <c r="P64" s="5">
        <f t="shared" si="27"/>
        <v>0</v>
      </c>
    </row>
    <row r="65" spans="2:16" ht="29.25" customHeight="1" x14ac:dyDescent="0.25">
      <c r="B65" s="49"/>
      <c r="C65" s="45"/>
      <c r="D65" s="45"/>
      <c r="E65" s="46"/>
      <c r="F65" s="7" t="s">
        <v>3</v>
      </c>
      <c r="G65" s="5">
        <f>SUM(H65:P65)</f>
        <v>0</v>
      </c>
      <c r="H65" s="5"/>
      <c r="I65" s="5"/>
      <c r="J65" s="5"/>
      <c r="K65" s="5"/>
      <c r="L65" s="5"/>
      <c r="M65" s="5">
        <v>0</v>
      </c>
      <c r="N65" s="5">
        <v>0</v>
      </c>
      <c r="O65" s="5"/>
      <c r="P65" s="5"/>
    </row>
    <row r="66" spans="2:16" ht="29.25" customHeight="1" x14ac:dyDescent="0.25">
      <c r="B66" s="49"/>
      <c r="C66" s="45"/>
      <c r="D66" s="45"/>
      <c r="E66" s="46"/>
      <c r="F66" s="7" t="s">
        <v>4</v>
      </c>
      <c r="G66" s="5">
        <f>SUM(H66:P66)</f>
        <v>0</v>
      </c>
      <c r="H66" s="5"/>
      <c r="I66" s="5"/>
      <c r="J66" s="5"/>
      <c r="K66" s="5"/>
      <c r="L66" s="5"/>
      <c r="M66" s="5">
        <v>0</v>
      </c>
      <c r="N66" s="5">
        <v>0</v>
      </c>
      <c r="O66" s="5"/>
      <c r="P66" s="5"/>
    </row>
    <row r="67" spans="2:16" ht="29.25" customHeight="1" x14ac:dyDescent="0.25">
      <c r="B67" s="49"/>
      <c r="C67" s="45"/>
      <c r="D67" s="45"/>
      <c r="E67" s="46"/>
      <c r="F67" s="10" t="s">
        <v>62</v>
      </c>
      <c r="G67" s="5">
        <f>SUM(H67:P67)</f>
        <v>0</v>
      </c>
      <c r="H67" s="5"/>
      <c r="I67" s="5"/>
      <c r="J67" s="5"/>
      <c r="K67" s="5"/>
      <c r="L67" s="5"/>
      <c r="M67" s="5">
        <v>0</v>
      </c>
      <c r="N67" s="5">
        <v>0</v>
      </c>
      <c r="O67" s="5"/>
      <c r="P67" s="5"/>
    </row>
    <row r="68" spans="2:16" ht="29.25" customHeight="1" x14ac:dyDescent="0.25">
      <c r="B68" s="49"/>
      <c r="C68" s="45"/>
      <c r="D68" s="45"/>
      <c r="E68" s="46"/>
      <c r="F68" s="7" t="s">
        <v>5</v>
      </c>
      <c r="G68" s="5">
        <f>SUM(H68:P68)</f>
        <v>18344.636770000001</v>
      </c>
      <c r="H68" s="5">
        <v>0</v>
      </c>
      <c r="I68" s="5">
        <v>7577.2937700000002</v>
      </c>
      <c r="J68" s="5"/>
      <c r="K68" s="5">
        <f>5000+1702.753-505.41</f>
        <v>6197.3429999999998</v>
      </c>
      <c r="L68" s="5">
        <f>4400+170</f>
        <v>4570</v>
      </c>
      <c r="M68" s="5">
        <f>8467.966-8467.966</f>
        <v>0</v>
      </c>
      <c r="N68" s="5">
        <v>0</v>
      </c>
      <c r="O68" s="5"/>
      <c r="P68" s="5"/>
    </row>
    <row r="69" spans="2:16" ht="29.25" customHeight="1" x14ac:dyDescent="0.25">
      <c r="B69" s="50"/>
      <c r="C69" s="45"/>
      <c r="D69" s="45"/>
      <c r="E69" s="46"/>
      <c r="F69" s="7" t="s">
        <v>6</v>
      </c>
      <c r="G69" s="5">
        <f>SUM(H69:P69)</f>
        <v>0</v>
      </c>
      <c r="H69" s="5"/>
      <c r="I69" s="5"/>
      <c r="J69" s="5"/>
      <c r="K69" s="5"/>
      <c r="L69" s="5"/>
      <c r="M69" s="5">
        <v>0</v>
      </c>
      <c r="N69" s="5">
        <v>0</v>
      </c>
      <c r="O69" s="5"/>
      <c r="P69" s="5"/>
    </row>
    <row r="70" spans="2:16" ht="29.25" customHeight="1" x14ac:dyDescent="0.25">
      <c r="B70" s="48" t="s">
        <v>34</v>
      </c>
      <c r="C70" s="45" t="s">
        <v>54</v>
      </c>
      <c r="D70" s="45" t="s">
        <v>89</v>
      </c>
      <c r="E70" s="46" t="s">
        <v>12</v>
      </c>
      <c r="F70" s="4" t="s">
        <v>2</v>
      </c>
      <c r="G70" s="5">
        <f t="shared" ref="G70:P70" si="29">SUM(G71:G75)</f>
        <v>21302.003230000002</v>
      </c>
      <c r="H70" s="5">
        <f t="shared" si="29"/>
        <v>0</v>
      </c>
      <c r="I70" s="5">
        <f t="shared" si="29"/>
        <v>4121.1333199999999</v>
      </c>
      <c r="J70" s="5">
        <f t="shared" si="29"/>
        <v>3607.9639099999999</v>
      </c>
      <c r="K70" s="5">
        <f t="shared" si="29"/>
        <v>0</v>
      </c>
      <c r="L70" s="5">
        <f t="shared" si="29"/>
        <v>5104.9400000000005</v>
      </c>
      <c r="M70" s="5">
        <f>SUM(M71:M75)</f>
        <v>8467.9660000000003</v>
      </c>
      <c r="N70" s="5">
        <f>SUM(N71:N75)</f>
        <v>0</v>
      </c>
      <c r="O70" s="5">
        <f t="shared" ref="O70" si="30">SUM(O71:O75)</f>
        <v>0</v>
      </c>
      <c r="P70" s="5">
        <f t="shared" si="29"/>
        <v>0</v>
      </c>
    </row>
    <row r="71" spans="2:16" ht="29.25" customHeight="1" x14ac:dyDescent="0.25">
      <c r="B71" s="49"/>
      <c r="C71" s="45"/>
      <c r="D71" s="45"/>
      <c r="E71" s="46"/>
      <c r="F71" s="7" t="s">
        <v>3</v>
      </c>
      <c r="G71" s="5">
        <f>SUM(H71:P71)</f>
        <v>0</v>
      </c>
      <c r="H71" s="5"/>
      <c r="I71" s="5"/>
      <c r="J71" s="5"/>
      <c r="K71" s="5"/>
      <c r="L71" s="5"/>
      <c r="M71" s="5">
        <v>0</v>
      </c>
      <c r="N71" s="5">
        <v>0</v>
      </c>
      <c r="O71" s="5"/>
      <c r="P71" s="5"/>
    </row>
    <row r="72" spans="2:16" ht="29.25" customHeight="1" x14ac:dyDescent="0.25">
      <c r="B72" s="49"/>
      <c r="C72" s="45"/>
      <c r="D72" s="45"/>
      <c r="E72" s="46"/>
      <c r="F72" s="7" t="s">
        <v>4</v>
      </c>
      <c r="G72" s="5">
        <f>SUM(H72:P72)</f>
        <v>0</v>
      </c>
      <c r="H72" s="5"/>
      <c r="I72" s="5"/>
      <c r="J72" s="5"/>
      <c r="K72" s="5"/>
      <c r="L72" s="5"/>
      <c r="M72" s="5">
        <v>0</v>
      </c>
      <c r="N72" s="5">
        <v>0</v>
      </c>
      <c r="O72" s="5"/>
      <c r="P72" s="5"/>
    </row>
    <row r="73" spans="2:16" ht="29.25" customHeight="1" x14ac:dyDescent="0.25">
      <c r="B73" s="49"/>
      <c r="C73" s="45"/>
      <c r="D73" s="45"/>
      <c r="E73" s="46"/>
      <c r="F73" s="10" t="s">
        <v>62</v>
      </c>
      <c r="G73" s="5">
        <f>SUM(H73:P73)</f>
        <v>0</v>
      </c>
      <c r="H73" s="5"/>
      <c r="I73" s="5"/>
      <c r="J73" s="5"/>
      <c r="K73" s="5"/>
      <c r="L73" s="5"/>
      <c r="M73" s="5">
        <v>0</v>
      </c>
      <c r="N73" s="5">
        <v>0</v>
      </c>
      <c r="O73" s="5"/>
      <c r="P73" s="5"/>
    </row>
    <row r="74" spans="2:16" ht="29.25" customHeight="1" x14ac:dyDescent="0.25">
      <c r="B74" s="49"/>
      <c r="C74" s="45"/>
      <c r="D74" s="45"/>
      <c r="E74" s="46"/>
      <c r="F74" s="7" t="s">
        <v>5</v>
      </c>
      <c r="G74" s="5">
        <f>SUM(H74:P74)</f>
        <v>21302.003230000002</v>
      </c>
      <c r="H74" s="5">
        <v>0</v>
      </c>
      <c r="I74" s="5">
        <v>4121.1333199999999</v>
      </c>
      <c r="J74" s="5">
        <v>3607.9639099999999</v>
      </c>
      <c r="K74" s="5"/>
      <c r="L74" s="5">
        <f>3322.94+1782</f>
        <v>5104.9400000000005</v>
      </c>
      <c r="M74" s="5">
        <f>8467.966</f>
        <v>8467.9660000000003</v>
      </c>
      <c r="N74" s="5">
        <v>0</v>
      </c>
      <c r="O74" s="5"/>
      <c r="P74" s="5"/>
    </row>
    <row r="75" spans="2:16" ht="29.25" customHeight="1" x14ac:dyDescent="0.25">
      <c r="B75" s="50"/>
      <c r="C75" s="45"/>
      <c r="D75" s="45"/>
      <c r="E75" s="46"/>
      <c r="F75" s="7" t="s">
        <v>6</v>
      </c>
      <c r="G75" s="5">
        <f>SUM(H75:P75)</f>
        <v>0</v>
      </c>
      <c r="H75" s="5"/>
      <c r="I75" s="5"/>
      <c r="J75" s="5"/>
      <c r="K75" s="5"/>
      <c r="L75" s="5"/>
      <c r="M75" s="5">
        <v>0</v>
      </c>
      <c r="N75" s="5">
        <v>0</v>
      </c>
      <c r="O75" s="5"/>
      <c r="P75" s="5"/>
    </row>
    <row r="76" spans="2:16" ht="29.25" customHeight="1" x14ac:dyDescent="0.25">
      <c r="B76" s="48" t="s">
        <v>35</v>
      </c>
      <c r="C76" s="45" t="s">
        <v>84</v>
      </c>
      <c r="D76" s="45" t="s">
        <v>90</v>
      </c>
      <c r="E76" s="46" t="s">
        <v>12</v>
      </c>
      <c r="F76" s="4" t="s">
        <v>2</v>
      </c>
      <c r="G76" s="5">
        <f t="shared" ref="G76:P76" si="31">SUM(G77:G81)</f>
        <v>3944.62835</v>
      </c>
      <c r="H76" s="5">
        <f t="shared" si="31"/>
        <v>0</v>
      </c>
      <c r="I76" s="5">
        <f t="shared" si="31"/>
        <v>878.86668000000009</v>
      </c>
      <c r="J76" s="5">
        <f t="shared" si="31"/>
        <v>392.03609</v>
      </c>
      <c r="K76" s="5">
        <f t="shared" si="31"/>
        <v>0</v>
      </c>
      <c r="L76" s="5">
        <f t="shared" si="31"/>
        <v>0</v>
      </c>
      <c r="M76" s="5">
        <f>SUM(M77:M81)</f>
        <v>1336.8627900000001</v>
      </c>
      <c r="N76" s="5">
        <f>SUM(N77:N81)</f>
        <v>1336.8627899999999</v>
      </c>
      <c r="O76" s="5">
        <f t="shared" ref="O76" si="32">SUM(O77:O81)</f>
        <v>0</v>
      </c>
      <c r="P76" s="5">
        <f t="shared" si="31"/>
        <v>0</v>
      </c>
    </row>
    <row r="77" spans="2:16" ht="29.25" customHeight="1" x14ac:dyDescent="0.25">
      <c r="B77" s="49"/>
      <c r="C77" s="45"/>
      <c r="D77" s="45"/>
      <c r="E77" s="46"/>
      <c r="F77" s="7" t="s">
        <v>3</v>
      </c>
      <c r="G77" s="5">
        <f>SUM(H77:P77)</f>
        <v>0</v>
      </c>
      <c r="H77" s="5"/>
      <c r="I77" s="5"/>
      <c r="J77" s="5"/>
      <c r="K77" s="5"/>
      <c r="L77" s="5"/>
      <c r="M77" s="5">
        <v>0</v>
      </c>
      <c r="N77" s="5">
        <v>0</v>
      </c>
      <c r="O77" s="5"/>
      <c r="P77" s="5"/>
    </row>
    <row r="78" spans="2:16" ht="29.25" customHeight="1" x14ac:dyDescent="0.25">
      <c r="B78" s="49"/>
      <c r="C78" s="45"/>
      <c r="D78" s="45"/>
      <c r="E78" s="46"/>
      <c r="F78" s="7" t="s">
        <v>4</v>
      </c>
      <c r="G78" s="5">
        <f>SUM(H78:P78)</f>
        <v>0</v>
      </c>
      <c r="H78" s="5"/>
      <c r="I78" s="5"/>
      <c r="J78" s="5"/>
      <c r="K78" s="5"/>
      <c r="L78" s="5"/>
      <c r="M78" s="5">
        <v>0</v>
      </c>
      <c r="N78" s="5">
        <v>0</v>
      </c>
      <c r="O78" s="5"/>
      <c r="P78" s="5"/>
    </row>
    <row r="79" spans="2:16" ht="29.25" customHeight="1" x14ac:dyDescent="0.25">
      <c r="B79" s="49"/>
      <c r="C79" s="45"/>
      <c r="D79" s="45"/>
      <c r="E79" s="46"/>
      <c r="F79" s="10" t="s">
        <v>62</v>
      </c>
      <c r="G79" s="5">
        <f>SUM(H79:P79)</f>
        <v>0</v>
      </c>
      <c r="H79" s="5"/>
      <c r="I79" s="5"/>
      <c r="J79" s="5"/>
      <c r="K79" s="5"/>
      <c r="L79" s="5"/>
      <c r="M79" s="5">
        <v>0</v>
      </c>
      <c r="N79" s="5">
        <v>0</v>
      </c>
      <c r="O79" s="5"/>
      <c r="P79" s="5"/>
    </row>
    <row r="80" spans="2:16" ht="29.25" customHeight="1" x14ac:dyDescent="0.25">
      <c r="B80" s="49"/>
      <c r="C80" s="45"/>
      <c r="D80" s="45"/>
      <c r="E80" s="46"/>
      <c r="F80" s="7" t="s">
        <v>5</v>
      </c>
      <c r="G80" s="5">
        <f>SUM(H80:P80)</f>
        <v>3944.62835</v>
      </c>
      <c r="H80" s="5">
        <v>0</v>
      </c>
      <c r="I80" s="5">
        <f>19.13578+16.57411+21.13074+26.81865+65.76411+50.39819+99.84087+52.82672+49.98097+47.40842+94.59977+99.78768+99.53265+73.2708+61.79722</f>
        <v>878.86668000000009</v>
      </c>
      <c r="J80" s="5">
        <f>48.66474+94.91821+42.73056+66.46968+51.95318+27.94666+35.81234+4.84775+7.31891+11.37406</f>
        <v>392.03609</v>
      </c>
      <c r="K80" s="5"/>
      <c r="L80" s="5"/>
      <c r="M80" s="5">
        <f>1691.5-354.63721</f>
        <v>1336.8627900000001</v>
      </c>
      <c r="N80" s="5">
        <v>1336.8627899999999</v>
      </c>
      <c r="O80" s="5"/>
      <c r="P80" s="5"/>
    </row>
    <row r="81" spans="2:16" ht="29.25" customHeight="1" x14ac:dyDescent="0.25">
      <c r="B81" s="50"/>
      <c r="C81" s="45"/>
      <c r="D81" s="45"/>
      <c r="E81" s="46"/>
      <c r="F81" s="7" t="s">
        <v>6</v>
      </c>
      <c r="G81" s="5">
        <f>SUM(H81:P81)</f>
        <v>0</v>
      </c>
      <c r="H81" s="5"/>
      <c r="I81" s="5"/>
      <c r="J81" s="5"/>
      <c r="K81" s="5"/>
      <c r="L81" s="5"/>
      <c r="M81" s="5">
        <v>0</v>
      </c>
      <c r="N81" s="5">
        <v>0</v>
      </c>
      <c r="O81" s="5"/>
      <c r="P81" s="5"/>
    </row>
    <row r="82" spans="2:16" ht="29.25" customHeight="1" x14ac:dyDescent="0.25">
      <c r="B82" s="48" t="s">
        <v>37</v>
      </c>
      <c r="C82" s="45" t="s">
        <v>41</v>
      </c>
      <c r="D82" s="45" t="s">
        <v>73</v>
      </c>
      <c r="E82" s="46" t="s">
        <v>27</v>
      </c>
      <c r="F82" s="4" t="s">
        <v>2</v>
      </c>
      <c r="G82" s="5">
        <f t="shared" ref="G82:P82" si="33">SUM(G83:G87)</f>
        <v>40415.391579999996</v>
      </c>
      <c r="H82" s="5">
        <f t="shared" si="33"/>
        <v>0</v>
      </c>
      <c r="I82" s="5">
        <f t="shared" si="33"/>
        <v>8334.3835199999994</v>
      </c>
      <c r="J82" s="5">
        <f t="shared" si="33"/>
        <v>16806.334489999997</v>
      </c>
      <c r="K82" s="5">
        <f t="shared" si="33"/>
        <v>9304.6735700000008</v>
      </c>
      <c r="L82" s="5">
        <f t="shared" si="33"/>
        <v>5970</v>
      </c>
      <c r="M82" s="5">
        <f>SUM(M83:M87)</f>
        <v>0</v>
      </c>
      <c r="N82" s="5">
        <f>SUM(N83:N87)</f>
        <v>0</v>
      </c>
      <c r="O82" s="5">
        <f t="shared" ref="O82" si="34">SUM(O83:O87)</f>
        <v>0</v>
      </c>
      <c r="P82" s="5">
        <f t="shared" si="33"/>
        <v>0</v>
      </c>
    </row>
    <row r="83" spans="2:16" ht="29.25" customHeight="1" x14ac:dyDescent="0.25">
      <c r="B83" s="49"/>
      <c r="C83" s="45"/>
      <c r="D83" s="45"/>
      <c r="E83" s="46"/>
      <c r="F83" s="7" t="s">
        <v>3</v>
      </c>
      <c r="G83" s="5">
        <f>SUM(H83:P83)</f>
        <v>0</v>
      </c>
      <c r="H83" s="5"/>
      <c r="I83" s="5"/>
      <c r="J83" s="5"/>
      <c r="K83" s="5"/>
      <c r="L83" s="5"/>
      <c r="M83" s="5">
        <v>0</v>
      </c>
      <c r="N83" s="5">
        <v>0</v>
      </c>
      <c r="O83" s="5"/>
      <c r="P83" s="5"/>
    </row>
    <row r="84" spans="2:16" ht="29.25" customHeight="1" x14ac:dyDescent="0.25">
      <c r="B84" s="49"/>
      <c r="C84" s="45"/>
      <c r="D84" s="45"/>
      <c r="E84" s="46"/>
      <c r="F84" s="7" t="s">
        <v>4</v>
      </c>
      <c r="G84" s="5">
        <f>SUM(H84:P84)</f>
        <v>0</v>
      </c>
      <c r="H84" s="5"/>
      <c r="I84" s="5"/>
      <c r="J84" s="5"/>
      <c r="K84" s="5"/>
      <c r="L84" s="5"/>
      <c r="M84" s="5">
        <v>0</v>
      </c>
      <c r="N84" s="5">
        <v>0</v>
      </c>
      <c r="O84" s="5"/>
      <c r="P84" s="5"/>
    </row>
    <row r="85" spans="2:16" ht="29.25" customHeight="1" x14ac:dyDescent="0.25">
      <c r="B85" s="49"/>
      <c r="C85" s="45"/>
      <c r="D85" s="45"/>
      <c r="E85" s="46"/>
      <c r="F85" s="10" t="s">
        <v>62</v>
      </c>
      <c r="G85" s="5">
        <f>SUM(H85:P85)</f>
        <v>0</v>
      </c>
      <c r="H85" s="5"/>
      <c r="I85" s="5"/>
      <c r="J85" s="5"/>
      <c r="K85" s="5"/>
      <c r="L85" s="5"/>
      <c r="M85" s="5">
        <v>0</v>
      </c>
      <c r="N85" s="5">
        <v>0</v>
      </c>
      <c r="O85" s="5"/>
      <c r="P85" s="5"/>
    </row>
    <row r="86" spans="2:16" ht="29.25" customHeight="1" x14ac:dyDescent="0.25">
      <c r="B86" s="49"/>
      <c r="C86" s="45"/>
      <c r="D86" s="45"/>
      <c r="E86" s="46"/>
      <c r="F86" s="7" t="s">
        <v>5</v>
      </c>
      <c r="G86" s="5">
        <f>SUM(H86:P86)</f>
        <v>40415.391579999996</v>
      </c>
      <c r="H86" s="5">
        <v>0</v>
      </c>
      <c r="I86" s="5">
        <v>8334.3835199999994</v>
      </c>
      <c r="J86" s="5">
        <f>15476.443-1400-0.01-47.30239+2777.20388</f>
        <v>16806.334489999997</v>
      </c>
      <c r="K86" s="5">
        <f>9034.67357+270</f>
        <v>9304.6735700000008</v>
      </c>
      <c r="L86" s="5">
        <f>6000-30</f>
        <v>5970</v>
      </c>
      <c r="M86" s="5">
        <v>0</v>
      </c>
      <c r="N86" s="5">
        <v>0</v>
      </c>
      <c r="O86" s="5"/>
      <c r="P86" s="5"/>
    </row>
    <row r="87" spans="2:16" ht="29.25" customHeight="1" x14ac:dyDescent="0.25">
      <c r="B87" s="50"/>
      <c r="C87" s="45"/>
      <c r="D87" s="45"/>
      <c r="E87" s="46"/>
      <c r="F87" s="7" t="s">
        <v>6</v>
      </c>
      <c r="G87" s="5">
        <f>SUM(H87:P87)</f>
        <v>0</v>
      </c>
      <c r="H87" s="5"/>
      <c r="I87" s="5"/>
      <c r="J87" s="5"/>
      <c r="K87" s="5"/>
      <c r="L87" s="5"/>
      <c r="M87" s="5">
        <v>0</v>
      </c>
      <c r="N87" s="5">
        <v>0</v>
      </c>
      <c r="O87" s="5"/>
      <c r="P87" s="5"/>
    </row>
    <row r="88" spans="2:16" ht="29.25" customHeight="1" x14ac:dyDescent="0.25">
      <c r="B88" s="48" t="s">
        <v>38</v>
      </c>
      <c r="C88" s="45" t="s">
        <v>51</v>
      </c>
      <c r="D88" s="45" t="s">
        <v>73</v>
      </c>
      <c r="E88" s="46" t="s">
        <v>27</v>
      </c>
      <c r="F88" s="4" t="s">
        <v>2</v>
      </c>
      <c r="G88" s="5">
        <f t="shared" ref="G88:P88" si="35">SUM(G89:G93)</f>
        <v>16089.239000000001</v>
      </c>
      <c r="H88" s="5">
        <f t="shared" si="35"/>
        <v>0</v>
      </c>
      <c r="I88" s="5">
        <f t="shared" si="35"/>
        <v>449.44499999999999</v>
      </c>
      <c r="J88" s="5">
        <f t="shared" si="35"/>
        <v>13719.918000000001</v>
      </c>
      <c r="K88" s="5">
        <f t="shared" si="35"/>
        <v>1119.876</v>
      </c>
      <c r="L88" s="5">
        <f t="shared" si="35"/>
        <v>800</v>
      </c>
      <c r="M88" s="5">
        <v>0</v>
      </c>
      <c r="N88" s="5">
        <f>SUM(N89:N93)</f>
        <v>0</v>
      </c>
      <c r="O88" s="5">
        <f t="shared" ref="O88" si="36">SUM(O89:O93)</f>
        <v>0</v>
      </c>
      <c r="P88" s="5">
        <f t="shared" si="35"/>
        <v>0</v>
      </c>
    </row>
    <row r="89" spans="2:16" ht="29.25" customHeight="1" x14ac:dyDescent="0.25">
      <c r="B89" s="49"/>
      <c r="C89" s="45"/>
      <c r="D89" s="45"/>
      <c r="E89" s="46"/>
      <c r="F89" s="7" t="s">
        <v>3</v>
      </c>
      <c r="G89" s="5">
        <f>SUM(H89:P89)</f>
        <v>0</v>
      </c>
      <c r="H89" s="5"/>
      <c r="I89" s="5"/>
      <c r="J89" s="5"/>
      <c r="K89" s="5"/>
      <c r="L89" s="5"/>
      <c r="M89" s="5">
        <v>0</v>
      </c>
      <c r="N89" s="5">
        <v>0</v>
      </c>
      <c r="O89" s="5"/>
      <c r="P89" s="5"/>
    </row>
    <row r="90" spans="2:16" ht="29.25" customHeight="1" x14ac:dyDescent="0.25">
      <c r="B90" s="49"/>
      <c r="C90" s="45"/>
      <c r="D90" s="45"/>
      <c r="E90" s="46"/>
      <c r="F90" s="7" t="s">
        <v>4</v>
      </c>
      <c r="G90" s="5">
        <f>SUM(H90:P90)</f>
        <v>10376.475</v>
      </c>
      <c r="H90" s="5"/>
      <c r="I90" s="5"/>
      <c r="J90" s="15">
        <f>13389.9-0.9-3012.525</f>
        <v>10376.475</v>
      </c>
      <c r="K90" s="5"/>
      <c r="L90" s="5"/>
      <c r="M90" s="5">
        <v>0</v>
      </c>
      <c r="N90" s="5">
        <v>0</v>
      </c>
      <c r="O90" s="5"/>
      <c r="P90" s="5"/>
    </row>
    <row r="91" spans="2:16" ht="29.25" customHeight="1" x14ac:dyDescent="0.25">
      <c r="B91" s="49"/>
      <c r="C91" s="45"/>
      <c r="D91" s="45"/>
      <c r="E91" s="46"/>
      <c r="F91" s="10" t="s">
        <v>62</v>
      </c>
      <c r="G91" s="5">
        <f>SUM(H91:P91)</f>
        <v>0</v>
      </c>
      <c r="H91" s="5"/>
      <c r="I91" s="5"/>
      <c r="J91" s="15"/>
      <c r="K91" s="5"/>
      <c r="L91" s="5"/>
      <c r="M91" s="5">
        <v>0</v>
      </c>
      <c r="N91" s="5">
        <v>0</v>
      </c>
      <c r="O91" s="5"/>
      <c r="P91" s="5"/>
    </row>
    <row r="92" spans="2:16" ht="29.25" customHeight="1" x14ac:dyDescent="0.25">
      <c r="B92" s="49"/>
      <c r="C92" s="45"/>
      <c r="D92" s="45"/>
      <c r="E92" s="46"/>
      <c r="F92" s="7" t="s">
        <v>5</v>
      </c>
      <c r="G92" s="5">
        <f>SUM(H92:P92)</f>
        <v>5712.7640000000001</v>
      </c>
      <c r="H92" s="5">
        <v>0</v>
      </c>
      <c r="I92" s="5">
        <v>449.44499999999999</v>
      </c>
      <c r="J92" s="5">
        <f>3343.443</f>
        <v>3343.4430000000002</v>
      </c>
      <c r="K92" s="5">
        <f>1191.628-71.752</f>
        <v>1119.876</v>
      </c>
      <c r="L92" s="5">
        <f>504+296</f>
        <v>800</v>
      </c>
      <c r="M92" s="5">
        <v>0</v>
      </c>
      <c r="N92" s="5">
        <v>0</v>
      </c>
      <c r="O92" s="5"/>
      <c r="P92" s="5"/>
    </row>
    <row r="93" spans="2:16" ht="29.25" customHeight="1" x14ac:dyDescent="0.25">
      <c r="B93" s="50"/>
      <c r="C93" s="45"/>
      <c r="D93" s="45"/>
      <c r="E93" s="46"/>
      <c r="F93" s="7" t="s">
        <v>6</v>
      </c>
      <c r="G93" s="5">
        <f>SUM(H93:P93)</f>
        <v>0</v>
      </c>
      <c r="H93" s="5"/>
      <c r="I93" s="5"/>
      <c r="J93" s="5"/>
      <c r="K93" s="5"/>
      <c r="L93" s="5"/>
      <c r="M93" s="5">
        <v>0</v>
      </c>
      <c r="N93" s="5">
        <v>0</v>
      </c>
      <c r="O93" s="5"/>
      <c r="P93" s="5"/>
    </row>
    <row r="94" spans="2:16" ht="29.25" customHeight="1" x14ac:dyDescent="0.25">
      <c r="B94" s="48" t="s">
        <v>39</v>
      </c>
      <c r="C94" s="45" t="s">
        <v>42</v>
      </c>
      <c r="D94" s="45" t="s">
        <v>45</v>
      </c>
      <c r="E94" s="46" t="s">
        <v>27</v>
      </c>
      <c r="F94" s="4" t="s">
        <v>2</v>
      </c>
      <c r="G94" s="5">
        <f t="shared" ref="G94:P94" si="37">SUM(G95:G99)</f>
        <v>3347.6706399999998</v>
      </c>
      <c r="H94" s="5">
        <f t="shared" si="37"/>
        <v>0</v>
      </c>
      <c r="I94" s="5">
        <f t="shared" si="37"/>
        <v>3062.00864</v>
      </c>
      <c r="J94" s="5">
        <f t="shared" si="37"/>
        <v>285.66199999999998</v>
      </c>
      <c r="K94" s="5">
        <f t="shared" si="37"/>
        <v>0</v>
      </c>
      <c r="L94" s="5">
        <f t="shared" si="37"/>
        <v>0</v>
      </c>
      <c r="M94" s="5">
        <f>SUM(M95:M99)</f>
        <v>0</v>
      </c>
      <c r="N94" s="5">
        <f>SUM(N95:N99)</f>
        <v>0</v>
      </c>
      <c r="O94" s="5">
        <f t="shared" ref="O94" si="38">SUM(O95:O99)</f>
        <v>0</v>
      </c>
      <c r="P94" s="5">
        <f t="shared" si="37"/>
        <v>0</v>
      </c>
    </row>
    <row r="95" spans="2:16" ht="29.25" customHeight="1" x14ac:dyDescent="0.25">
      <c r="B95" s="49"/>
      <c r="C95" s="45"/>
      <c r="D95" s="45"/>
      <c r="E95" s="46"/>
      <c r="F95" s="7" t="s">
        <v>3</v>
      </c>
      <c r="G95" s="5">
        <f>SUM(H95:P95)</f>
        <v>0</v>
      </c>
      <c r="H95" s="5"/>
      <c r="I95" s="5"/>
      <c r="J95" s="5"/>
      <c r="K95" s="5"/>
      <c r="L95" s="5"/>
      <c r="M95" s="5">
        <v>0</v>
      </c>
      <c r="N95" s="5">
        <v>0</v>
      </c>
      <c r="O95" s="5"/>
      <c r="P95" s="5"/>
    </row>
    <row r="96" spans="2:16" ht="29.25" customHeight="1" x14ac:dyDescent="0.25">
      <c r="B96" s="49"/>
      <c r="C96" s="45"/>
      <c r="D96" s="45"/>
      <c r="E96" s="46"/>
      <c r="F96" s="7" t="s">
        <v>4</v>
      </c>
      <c r="G96" s="5">
        <f>SUM(H96:P96)</f>
        <v>0</v>
      </c>
      <c r="H96" s="5"/>
      <c r="I96" s="5"/>
      <c r="J96" s="5"/>
      <c r="K96" s="5"/>
      <c r="L96" s="5"/>
      <c r="M96" s="5">
        <v>0</v>
      </c>
      <c r="N96" s="5">
        <v>0</v>
      </c>
      <c r="O96" s="5"/>
      <c r="P96" s="5"/>
    </row>
    <row r="97" spans="2:16" ht="29.25" customHeight="1" x14ac:dyDescent="0.25">
      <c r="B97" s="49"/>
      <c r="C97" s="45"/>
      <c r="D97" s="45"/>
      <c r="E97" s="46"/>
      <c r="F97" s="10" t="s">
        <v>62</v>
      </c>
      <c r="G97" s="5">
        <f>SUM(H97:P97)</f>
        <v>0</v>
      </c>
      <c r="H97" s="5"/>
      <c r="I97" s="5"/>
      <c r="J97" s="5"/>
      <c r="K97" s="5"/>
      <c r="L97" s="5"/>
      <c r="M97" s="5">
        <v>0</v>
      </c>
      <c r="N97" s="5">
        <v>0</v>
      </c>
      <c r="O97" s="5"/>
      <c r="P97" s="5"/>
    </row>
    <row r="98" spans="2:16" ht="29.25" customHeight="1" x14ac:dyDescent="0.25">
      <c r="B98" s="49"/>
      <c r="C98" s="45"/>
      <c r="D98" s="45"/>
      <c r="E98" s="46"/>
      <c r="F98" s="7" t="s">
        <v>5</v>
      </c>
      <c r="G98" s="5">
        <f>SUM(H98:P98)</f>
        <v>3347.6706399999998</v>
      </c>
      <c r="H98" s="5">
        <v>0</v>
      </c>
      <c r="I98" s="5">
        <v>3062.00864</v>
      </c>
      <c r="J98" s="5">
        <v>285.66199999999998</v>
      </c>
      <c r="K98" s="5"/>
      <c r="L98" s="5"/>
      <c r="M98" s="5">
        <v>0</v>
      </c>
      <c r="N98" s="5">
        <v>0</v>
      </c>
      <c r="O98" s="5"/>
      <c r="P98" s="5"/>
    </row>
    <row r="99" spans="2:16" ht="29.25" customHeight="1" x14ac:dyDescent="0.25">
      <c r="B99" s="50"/>
      <c r="C99" s="45"/>
      <c r="D99" s="45"/>
      <c r="E99" s="46"/>
      <c r="F99" s="7" t="s">
        <v>6</v>
      </c>
      <c r="G99" s="5">
        <f>SUM(H99:P99)</f>
        <v>0</v>
      </c>
      <c r="H99" s="5"/>
      <c r="I99" s="5"/>
      <c r="J99" s="5"/>
      <c r="K99" s="5"/>
      <c r="L99" s="5"/>
      <c r="M99" s="5">
        <v>0</v>
      </c>
      <c r="N99" s="5">
        <v>0</v>
      </c>
      <c r="O99" s="5"/>
      <c r="P99" s="5"/>
    </row>
    <row r="100" spans="2:16" ht="29.25" customHeight="1" x14ac:dyDescent="0.25">
      <c r="B100" s="48" t="s">
        <v>78</v>
      </c>
      <c r="C100" s="46" t="s">
        <v>58</v>
      </c>
      <c r="D100" s="45" t="s">
        <v>91</v>
      </c>
      <c r="E100" s="46" t="s">
        <v>27</v>
      </c>
      <c r="F100" s="4" t="s">
        <v>2</v>
      </c>
      <c r="G100" s="5">
        <f t="shared" ref="G100:P100" si="39">SUM(G101:G105)</f>
        <v>1194.64509</v>
      </c>
      <c r="H100" s="5">
        <f t="shared" si="39"/>
        <v>0</v>
      </c>
      <c r="I100" s="5">
        <f t="shared" si="39"/>
        <v>299.96568000000002</v>
      </c>
      <c r="J100" s="5">
        <f t="shared" si="39"/>
        <v>145</v>
      </c>
      <c r="K100" s="5">
        <f t="shared" si="39"/>
        <v>604.67940999999996</v>
      </c>
      <c r="L100" s="5">
        <f t="shared" si="39"/>
        <v>0</v>
      </c>
      <c r="M100" s="5">
        <f>SUM(M101:M105)</f>
        <v>145</v>
      </c>
      <c r="N100" s="5">
        <f>SUM(N101:N105)</f>
        <v>0</v>
      </c>
      <c r="O100" s="5">
        <f t="shared" ref="O100" si="40">SUM(O101:O105)</f>
        <v>0</v>
      </c>
      <c r="P100" s="5">
        <f t="shared" si="39"/>
        <v>0</v>
      </c>
    </row>
    <row r="101" spans="2:16" ht="29.25" customHeight="1" x14ac:dyDescent="0.25">
      <c r="B101" s="49"/>
      <c r="C101" s="46"/>
      <c r="D101" s="45"/>
      <c r="E101" s="46"/>
      <c r="F101" s="7" t="s">
        <v>3</v>
      </c>
      <c r="G101" s="5">
        <f>SUM(H101:P101)</f>
        <v>0</v>
      </c>
      <c r="H101" s="5"/>
      <c r="I101" s="5"/>
      <c r="J101" s="5"/>
      <c r="K101" s="5"/>
      <c r="L101" s="5"/>
      <c r="M101" s="5">
        <v>0</v>
      </c>
      <c r="N101" s="5">
        <v>0</v>
      </c>
      <c r="O101" s="5"/>
      <c r="P101" s="5"/>
    </row>
    <row r="102" spans="2:16" ht="29.25" customHeight="1" x14ac:dyDescent="0.25">
      <c r="B102" s="49"/>
      <c r="C102" s="46"/>
      <c r="D102" s="45"/>
      <c r="E102" s="46"/>
      <c r="F102" s="7" t="s">
        <v>4</v>
      </c>
      <c r="G102" s="5">
        <f>SUM(H102:P102)</f>
        <v>0</v>
      </c>
      <c r="H102" s="5"/>
      <c r="I102" s="5"/>
      <c r="J102" s="5"/>
      <c r="K102" s="5"/>
      <c r="L102" s="5"/>
      <c r="M102" s="5">
        <v>0</v>
      </c>
      <c r="N102" s="5">
        <v>0</v>
      </c>
      <c r="O102" s="5"/>
      <c r="P102" s="5"/>
    </row>
    <row r="103" spans="2:16" ht="29.25" customHeight="1" x14ac:dyDescent="0.25">
      <c r="B103" s="49"/>
      <c r="C103" s="46"/>
      <c r="D103" s="45"/>
      <c r="E103" s="46"/>
      <c r="F103" s="10" t="s">
        <v>62</v>
      </c>
      <c r="G103" s="5">
        <f>SUM(H103:P103)</f>
        <v>0</v>
      </c>
      <c r="H103" s="5"/>
      <c r="I103" s="5"/>
      <c r="J103" s="5"/>
      <c r="K103" s="5"/>
      <c r="L103" s="5"/>
      <c r="M103" s="5">
        <v>0</v>
      </c>
      <c r="N103" s="5">
        <v>0</v>
      </c>
      <c r="O103" s="5"/>
      <c r="P103" s="5"/>
    </row>
    <row r="104" spans="2:16" ht="29.25" customHeight="1" x14ac:dyDescent="0.25">
      <c r="B104" s="49"/>
      <c r="C104" s="46"/>
      <c r="D104" s="45"/>
      <c r="E104" s="46"/>
      <c r="F104" s="7" t="s">
        <v>5</v>
      </c>
      <c r="G104" s="5">
        <f>SUM(H104:P104)</f>
        <v>1194.64509</v>
      </c>
      <c r="H104" s="5">
        <v>0</v>
      </c>
      <c r="I104" s="5">
        <v>299.96568000000002</v>
      </c>
      <c r="J104" s="5">
        <v>145</v>
      </c>
      <c r="K104" s="5">
        <f>752.718-148.03859</f>
        <v>604.67940999999996</v>
      </c>
      <c r="L104" s="5">
        <v>0</v>
      </c>
      <c r="M104" s="5">
        <v>145</v>
      </c>
      <c r="N104" s="5">
        <v>0</v>
      </c>
      <c r="O104" s="5">
        <v>0</v>
      </c>
      <c r="P104" s="5">
        <v>0</v>
      </c>
    </row>
    <row r="105" spans="2:16" ht="29.25" customHeight="1" x14ac:dyDescent="0.25">
      <c r="B105" s="50"/>
      <c r="C105" s="46"/>
      <c r="D105" s="45"/>
      <c r="E105" s="46"/>
      <c r="F105" s="7" t="s">
        <v>6</v>
      </c>
      <c r="G105" s="5">
        <f>SUM(H105:P105)</f>
        <v>0</v>
      </c>
      <c r="H105" s="5"/>
      <c r="I105" s="5"/>
      <c r="J105" s="5"/>
      <c r="K105" s="5"/>
      <c r="L105" s="5"/>
      <c r="M105" s="5">
        <v>0</v>
      </c>
      <c r="N105" s="5">
        <v>0</v>
      </c>
      <c r="O105" s="5"/>
      <c r="P105" s="5"/>
    </row>
    <row r="106" spans="2:16" ht="15.75" hidden="1" customHeight="1" x14ac:dyDescent="0.25">
      <c r="B106" s="48"/>
      <c r="C106" s="53" t="s">
        <v>11</v>
      </c>
      <c r="D106" s="53"/>
      <c r="E106" s="61" t="s">
        <v>12</v>
      </c>
      <c r="F106" s="4" t="s">
        <v>2</v>
      </c>
      <c r="G106" s="5">
        <v>0</v>
      </c>
      <c r="H106" s="5">
        <v>0</v>
      </c>
      <c r="I106" s="5"/>
      <c r="J106" s="5">
        <v>0</v>
      </c>
      <c r="K106" s="5"/>
      <c r="L106" s="5"/>
      <c r="M106" s="5"/>
      <c r="N106" s="5"/>
      <c r="O106" s="5"/>
      <c r="P106" s="5"/>
    </row>
    <row r="107" spans="2:16" ht="15.75" hidden="1" customHeight="1" x14ac:dyDescent="0.25">
      <c r="B107" s="56"/>
      <c r="C107" s="54"/>
      <c r="D107" s="54"/>
      <c r="E107" s="61"/>
      <c r="F107" s="7" t="s">
        <v>3</v>
      </c>
      <c r="G107" s="5">
        <v>0</v>
      </c>
      <c r="H107" s="5"/>
      <c r="I107" s="5"/>
      <c r="J107" s="5"/>
      <c r="K107" s="5"/>
      <c r="L107" s="5"/>
      <c r="M107" s="5"/>
      <c r="N107" s="5"/>
      <c r="O107" s="5"/>
      <c r="P107" s="5"/>
    </row>
    <row r="108" spans="2:16" ht="15.75" hidden="1" customHeight="1" x14ac:dyDescent="0.25">
      <c r="B108" s="56"/>
      <c r="C108" s="54"/>
      <c r="D108" s="54"/>
      <c r="E108" s="61"/>
      <c r="F108" s="7" t="s">
        <v>4</v>
      </c>
      <c r="G108" s="5">
        <v>0</v>
      </c>
      <c r="H108" s="5"/>
      <c r="I108" s="5"/>
      <c r="J108" s="5"/>
      <c r="K108" s="5"/>
      <c r="L108" s="5"/>
      <c r="M108" s="5"/>
      <c r="N108" s="5"/>
      <c r="O108" s="5"/>
      <c r="P108" s="5"/>
    </row>
    <row r="109" spans="2:16" ht="15.75" hidden="1" customHeight="1" x14ac:dyDescent="0.25">
      <c r="B109" s="56"/>
      <c r="C109" s="54"/>
      <c r="D109" s="54"/>
      <c r="E109" s="61"/>
      <c r="F109" s="7" t="s">
        <v>5</v>
      </c>
      <c r="G109" s="5">
        <v>0</v>
      </c>
      <c r="H109" s="5"/>
      <c r="I109" s="5"/>
      <c r="J109" s="5"/>
      <c r="K109" s="5"/>
      <c r="L109" s="5"/>
      <c r="M109" s="5"/>
      <c r="N109" s="5"/>
      <c r="O109" s="5"/>
      <c r="P109" s="5"/>
    </row>
    <row r="110" spans="2:16" ht="10.5" hidden="1" customHeight="1" x14ac:dyDescent="0.25">
      <c r="B110" s="57"/>
      <c r="C110" s="55"/>
      <c r="D110" s="55"/>
      <c r="E110" s="61"/>
      <c r="F110" s="7" t="s">
        <v>6</v>
      </c>
      <c r="G110" s="5">
        <v>0</v>
      </c>
      <c r="H110" s="5"/>
      <c r="I110" s="5"/>
      <c r="J110" s="5"/>
      <c r="K110" s="5"/>
      <c r="L110" s="5"/>
      <c r="M110" s="5"/>
      <c r="N110" s="5"/>
      <c r="O110" s="5"/>
      <c r="P110" s="5"/>
    </row>
    <row r="111" spans="2:16" ht="21" customHeight="1" x14ac:dyDescent="0.25">
      <c r="B111" s="71" t="s">
        <v>43</v>
      </c>
      <c r="C111" s="51" t="s">
        <v>44</v>
      </c>
      <c r="D111" s="45"/>
      <c r="E111" s="61" t="s">
        <v>12</v>
      </c>
      <c r="F111" s="4" t="s">
        <v>2</v>
      </c>
      <c r="G111" s="8">
        <f t="shared" ref="G111:P111" si="41">SUM(G112:G116)</f>
        <v>1076028.81696</v>
      </c>
      <c r="H111" s="8">
        <f t="shared" si="41"/>
        <v>0</v>
      </c>
      <c r="I111" s="8">
        <f t="shared" si="41"/>
        <v>27408.394240000001</v>
      </c>
      <c r="J111" s="8">
        <f t="shared" si="41"/>
        <v>86505.815000000017</v>
      </c>
      <c r="K111" s="8">
        <f t="shared" si="41"/>
        <v>164797.62641000003</v>
      </c>
      <c r="L111" s="8">
        <f>SUM(L112:L116)</f>
        <v>339770.44286000001</v>
      </c>
      <c r="M111" s="8">
        <f>SUM(M112:M116)</f>
        <v>328648.64259000006</v>
      </c>
      <c r="N111" s="8">
        <f>SUM(N112:N116)</f>
        <v>128897.89585999999</v>
      </c>
      <c r="O111" s="8">
        <f t="shared" ref="O111" si="42">SUM(O112:O116)</f>
        <v>0</v>
      </c>
      <c r="P111" s="8">
        <f t="shared" si="41"/>
        <v>0</v>
      </c>
    </row>
    <row r="112" spans="2:16" ht="29.25" customHeight="1" x14ac:dyDescent="0.25">
      <c r="B112" s="71"/>
      <c r="C112" s="51"/>
      <c r="D112" s="45"/>
      <c r="E112" s="61"/>
      <c r="F112" s="4" t="s">
        <v>3</v>
      </c>
      <c r="G112" s="8">
        <f>SUM(I112:P112)</f>
        <v>780886.66716999991</v>
      </c>
      <c r="H112" s="8"/>
      <c r="I112" s="8">
        <f>I118+I124+I135+I141+I147+I153+I159+I171+I165+I192</f>
        <v>23943.79</v>
      </c>
      <c r="J112" s="8">
        <f>J118+J124+J135+J141+J147+J153+J159+J171+J165+J192</f>
        <v>84150.000000000015</v>
      </c>
      <c r="K112" s="8">
        <f>K118+K124+K135+K141+K147+K153+K159+K171+K165+K192</f>
        <v>121770</v>
      </c>
      <c r="L112" s="8">
        <f>L118+L124+L135+L141+L147+L153+L159+L171+L165+L192</f>
        <v>241334.43806000001</v>
      </c>
      <c r="M112" s="8">
        <f t="shared" ref="M112:P112" si="43">M118+M124+M135+M141+M147+M153+M159+M171+M165+M192</f>
        <v>214464.23910999999</v>
      </c>
      <c r="N112" s="8">
        <f>N118+N124+N135+N141+N147+N153+N159+N171+N165+N192</f>
        <v>95224.2</v>
      </c>
      <c r="O112" s="8">
        <f t="shared" si="43"/>
        <v>0</v>
      </c>
      <c r="P112" s="8">
        <f t="shared" si="43"/>
        <v>0</v>
      </c>
    </row>
    <row r="113" spans="2:18" ht="30" customHeight="1" x14ac:dyDescent="0.25">
      <c r="B113" s="71"/>
      <c r="C113" s="51"/>
      <c r="D113" s="45"/>
      <c r="E113" s="61"/>
      <c r="F113" s="4" t="s">
        <v>4</v>
      </c>
      <c r="G113" s="8">
        <f>SUM(I113:P113)</f>
        <v>9049.7016199999998</v>
      </c>
      <c r="H113" s="8"/>
      <c r="I113" s="8">
        <f>I119+I125+I136+I142+I148+I154+I160+I172+I166+I193</f>
        <v>1500</v>
      </c>
      <c r="J113" s="8">
        <f t="shared" ref="J113:P113" si="44">J119+J125+J136+J142+J148+J154+J160+J172+J166+J193</f>
        <v>849.99999999999989</v>
      </c>
      <c r="K113" s="8">
        <f t="shared" si="44"/>
        <v>1230.00001</v>
      </c>
      <c r="L113" s="8">
        <f t="shared" si="44"/>
        <v>2437.7216000000003</v>
      </c>
      <c r="M113" s="8">
        <f t="shared" si="44"/>
        <v>2166.30546</v>
      </c>
      <c r="N113" s="8">
        <f>N119+N125+N136+N142+N148+N154+N160+N172+N166+N193</f>
        <v>865.67455000000007</v>
      </c>
      <c r="O113" s="8">
        <f t="shared" si="44"/>
        <v>0</v>
      </c>
      <c r="P113" s="8">
        <f t="shared" si="44"/>
        <v>0</v>
      </c>
    </row>
    <row r="114" spans="2:18" ht="30" customHeight="1" x14ac:dyDescent="0.25">
      <c r="B114" s="71"/>
      <c r="C114" s="51"/>
      <c r="D114" s="45"/>
      <c r="E114" s="61"/>
      <c r="F114" s="9" t="s">
        <v>62</v>
      </c>
      <c r="G114" s="8">
        <f>SUM(I114:P114)</f>
        <v>201173.88</v>
      </c>
      <c r="H114" s="8"/>
      <c r="I114" s="8">
        <f t="shared" ref="I114:P116" si="45">I120+I126+I137+I143+I149+I155+I161+I173+I167+I194</f>
        <v>0</v>
      </c>
      <c r="J114" s="8">
        <f t="shared" si="45"/>
        <v>0</v>
      </c>
      <c r="K114" s="8">
        <f t="shared" si="45"/>
        <v>37973.880000000005</v>
      </c>
      <c r="L114" s="8">
        <f t="shared" si="45"/>
        <v>90000</v>
      </c>
      <c r="M114" s="8">
        <f t="shared" si="45"/>
        <v>70000</v>
      </c>
      <c r="N114" s="8">
        <f>N120+N126+N137+N143+N149+N155+N161+N173+N167+N194</f>
        <v>3200</v>
      </c>
      <c r="O114" s="8">
        <f t="shared" si="45"/>
        <v>0</v>
      </c>
      <c r="P114" s="8">
        <f t="shared" si="45"/>
        <v>0</v>
      </c>
    </row>
    <row r="115" spans="2:18" ht="25.5" x14ac:dyDescent="0.25">
      <c r="B115" s="71"/>
      <c r="C115" s="51"/>
      <c r="D115" s="45"/>
      <c r="E115" s="61"/>
      <c r="F115" s="4" t="s">
        <v>5</v>
      </c>
      <c r="G115" s="8">
        <f>SUM(I115:P115)</f>
        <v>84918.568169999999</v>
      </c>
      <c r="H115" s="8"/>
      <c r="I115" s="8">
        <f t="shared" si="45"/>
        <v>1964.6042400000001</v>
      </c>
      <c r="J115" s="8">
        <f t="shared" si="45"/>
        <v>1505.8150000000001</v>
      </c>
      <c r="K115" s="8">
        <f t="shared" si="45"/>
        <v>3823.7464</v>
      </c>
      <c r="L115" s="8">
        <f t="shared" si="45"/>
        <v>5998.2831999999999</v>
      </c>
      <c r="M115" s="8">
        <f t="shared" si="45"/>
        <v>42018.098020000005</v>
      </c>
      <c r="N115" s="8">
        <f t="shared" si="45"/>
        <v>29608.021309999996</v>
      </c>
      <c r="O115" s="8">
        <f t="shared" si="45"/>
        <v>0</v>
      </c>
      <c r="P115" s="8">
        <f t="shared" si="45"/>
        <v>0</v>
      </c>
    </row>
    <row r="116" spans="2:18" ht="48" customHeight="1" x14ac:dyDescent="0.25">
      <c r="B116" s="71"/>
      <c r="C116" s="51"/>
      <c r="D116" s="45"/>
      <c r="E116" s="61"/>
      <c r="F116" s="4" t="s">
        <v>6</v>
      </c>
      <c r="G116" s="8">
        <f>SUM(I116:P116)</f>
        <v>0</v>
      </c>
      <c r="H116" s="8"/>
      <c r="I116" s="8">
        <f t="shared" si="45"/>
        <v>0</v>
      </c>
      <c r="J116" s="8">
        <f t="shared" si="45"/>
        <v>0</v>
      </c>
      <c r="K116" s="8">
        <f t="shared" si="45"/>
        <v>0</v>
      </c>
      <c r="L116" s="8">
        <f t="shared" si="45"/>
        <v>0</v>
      </c>
      <c r="M116" s="8">
        <f t="shared" si="45"/>
        <v>0</v>
      </c>
      <c r="N116" s="8">
        <f t="shared" si="45"/>
        <v>0</v>
      </c>
      <c r="O116" s="8">
        <f t="shared" si="45"/>
        <v>0</v>
      </c>
      <c r="P116" s="8">
        <f t="shared" si="45"/>
        <v>0</v>
      </c>
    </row>
    <row r="117" spans="2:18" ht="30.75" customHeight="1" x14ac:dyDescent="0.25">
      <c r="B117" s="47" t="s">
        <v>26</v>
      </c>
      <c r="C117" s="45" t="s">
        <v>68</v>
      </c>
      <c r="D117" s="45">
        <v>2018</v>
      </c>
      <c r="E117" s="46" t="s">
        <v>12</v>
      </c>
      <c r="F117" s="4" t="s">
        <v>2</v>
      </c>
      <c r="G117" s="5">
        <f t="shared" ref="G117:P117" si="46">SUM(G118:G122)</f>
        <v>666.06500000000005</v>
      </c>
      <c r="H117" s="5">
        <f t="shared" si="46"/>
        <v>0</v>
      </c>
      <c r="I117" s="5">
        <f t="shared" si="46"/>
        <v>666.06500000000005</v>
      </c>
      <c r="J117" s="5">
        <f t="shared" si="46"/>
        <v>0</v>
      </c>
      <c r="K117" s="5">
        <f t="shared" si="46"/>
        <v>0</v>
      </c>
      <c r="L117" s="5">
        <f t="shared" si="46"/>
        <v>0</v>
      </c>
      <c r="M117" s="5">
        <f>SUM(M118:M122)</f>
        <v>0</v>
      </c>
      <c r="N117" s="5">
        <f>SUM(N118:N122)</f>
        <v>0</v>
      </c>
      <c r="O117" s="5">
        <f t="shared" ref="O117" si="47">SUM(O118:O122)</f>
        <v>0</v>
      </c>
      <c r="P117" s="5">
        <f t="shared" si="46"/>
        <v>0</v>
      </c>
    </row>
    <row r="118" spans="2:18" ht="30.75" customHeight="1" x14ac:dyDescent="0.25">
      <c r="B118" s="47"/>
      <c r="C118" s="45"/>
      <c r="D118" s="45"/>
      <c r="E118" s="46"/>
      <c r="F118" s="7" t="s">
        <v>3</v>
      </c>
      <c r="G118" s="5">
        <f>SUM(H118:P118)</f>
        <v>0</v>
      </c>
      <c r="H118" s="5"/>
      <c r="I118" s="5"/>
      <c r="J118" s="5"/>
      <c r="K118" s="5"/>
      <c r="L118" s="5"/>
      <c r="M118" s="5">
        <v>0</v>
      </c>
      <c r="N118" s="5">
        <v>0</v>
      </c>
      <c r="O118" s="5"/>
      <c r="P118" s="5"/>
    </row>
    <row r="119" spans="2:18" ht="25.5" customHeight="1" x14ac:dyDescent="0.25">
      <c r="B119" s="47"/>
      <c r="C119" s="45"/>
      <c r="D119" s="45"/>
      <c r="E119" s="46"/>
      <c r="F119" s="7" t="s">
        <v>4</v>
      </c>
      <c r="G119" s="5">
        <f>SUM(H119:P119)</f>
        <v>0</v>
      </c>
      <c r="H119" s="5"/>
      <c r="I119" s="5"/>
      <c r="J119" s="5"/>
      <c r="K119" s="5"/>
      <c r="L119" s="5"/>
      <c r="M119" s="5">
        <v>0</v>
      </c>
      <c r="N119" s="5">
        <v>0</v>
      </c>
      <c r="O119" s="5"/>
      <c r="P119" s="5"/>
    </row>
    <row r="120" spans="2:18" ht="25.5" customHeight="1" x14ac:dyDescent="0.25">
      <c r="B120" s="47"/>
      <c r="C120" s="45"/>
      <c r="D120" s="45"/>
      <c r="E120" s="46"/>
      <c r="F120" s="10" t="s">
        <v>62</v>
      </c>
      <c r="G120" s="5">
        <f>SUM(H120:P120)</f>
        <v>0</v>
      </c>
      <c r="H120" s="5"/>
      <c r="I120" s="5"/>
      <c r="J120" s="5"/>
      <c r="K120" s="5"/>
      <c r="L120" s="5"/>
      <c r="M120" s="5">
        <v>0</v>
      </c>
      <c r="N120" s="5">
        <v>0</v>
      </c>
      <c r="O120" s="5"/>
      <c r="P120" s="5"/>
    </row>
    <row r="121" spans="2:18" ht="33.75" customHeight="1" x14ac:dyDescent="0.25">
      <c r="B121" s="47"/>
      <c r="C121" s="45"/>
      <c r="D121" s="45"/>
      <c r="E121" s="46"/>
      <c r="F121" s="7" t="s">
        <v>5</v>
      </c>
      <c r="G121" s="5">
        <f>SUM(H121:P121)</f>
        <v>666.06500000000005</v>
      </c>
      <c r="H121" s="5"/>
      <c r="I121" s="5">
        <v>666.06500000000005</v>
      </c>
      <c r="J121" s="5"/>
      <c r="K121" s="5"/>
      <c r="L121" s="5"/>
      <c r="M121" s="5">
        <v>0</v>
      </c>
      <c r="N121" s="5">
        <v>0</v>
      </c>
      <c r="O121" s="5"/>
      <c r="P121" s="5"/>
    </row>
    <row r="122" spans="2:18" ht="26.25" customHeight="1" x14ac:dyDescent="0.25">
      <c r="B122" s="47"/>
      <c r="C122" s="45"/>
      <c r="D122" s="45"/>
      <c r="E122" s="46"/>
      <c r="F122" s="7" t="s">
        <v>6</v>
      </c>
      <c r="G122" s="5">
        <f>SUM(H122:P122)</f>
        <v>0</v>
      </c>
      <c r="H122" s="5"/>
      <c r="I122" s="5"/>
      <c r="J122" s="5"/>
      <c r="K122" s="5"/>
      <c r="L122" s="5"/>
      <c r="M122" s="5">
        <v>0</v>
      </c>
      <c r="N122" s="5">
        <v>0</v>
      </c>
      <c r="O122" s="5"/>
      <c r="P122" s="5"/>
    </row>
    <row r="123" spans="2:18" ht="15.75" customHeight="1" x14ac:dyDescent="0.25">
      <c r="B123" s="47" t="s">
        <v>46</v>
      </c>
      <c r="C123" s="45" t="s">
        <v>60</v>
      </c>
      <c r="D123" s="45" t="s">
        <v>76</v>
      </c>
      <c r="E123" s="46" t="s">
        <v>12</v>
      </c>
      <c r="F123" s="4" t="s">
        <v>2</v>
      </c>
      <c r="G123" s="5">
        <f t="shared" ref="G123:P123" si="48">SUM(G124:G128)</f>
        <v>1011890.02804</v>
      </c>
      <c r="H123" s="5">
        <f t="shared" si="48"/>
        <v>0</v>
      </c>
      <c r="I123" s="5">
        <f t="shared" si="48"/>
        <v>26140.33</v>
      </c>
      <c r="J123" s="5">
        <f t="shared" si="48"/>
        <v>83115.000000000015</v>
      </c>
      <c r="K123" s="5">
        <f t="shared" si="48"/>
        <v>148452.31001000002</v>
      </c>
      <c r="L123" s="5">
        <f t="shared" si="48"/>
        <v>336291.84286000003</v>
      </c>
      <c r="M123" s="5">
        <f>SUM(M124:M128)</f>
        <v>301704.48481000005</v>
      </c>
      <c r="N123" s="34">
        <f>SUM(N124:N128)</f>
        <v>116186.06035999999</v>
      </c>
      <c r="O123" s="5">
        <f t="shared" ref="O123" si="49">SUM(O124:O128)</f>
        <v>0</v>
      </c>
      <c r="P123" s="5">
        <f t="shared" si="48"/>
        <v>0</v>
      </c>
    </row>
    <row r="124" spans="2:18" ht="24" customHeight="1" x14ac:dyDescent="0.25">
      <c r="B124" s="47"/>
      <c r="C124" s="45"/>
      <c r="D124" s="45"/>
      <c r="E124" s="46"/>
      <c r="F124" s="7" t="s">
        <v>3</v>
      </c>
      <c r="G124" s="5">
        <f>SUM(H124:P124)</f>
        <v>777580.06716999994</v>
      </c>
      <c r="H124" s="5"/>
      <c r="I124" s="5">
        <f>23943.79</f>
        <v>23943.79</v>
      </c>
      <c r="J124" s="5">
        <f>9481.70793+20079.27733+21728.70919+26589.6127+1116.06066+110.88396+294.03+289.08+2594.48823</f>
        <v>82283.85000000002</v>
      </c>
      <c r="K124" s="5">
        <v>120329.55</v>
      </c>
      <c r="L124" s="5">
        <f>28287.55908+66317.13+33228.06563+43919.69274+17925.25779+51656.73282</f>
        <v>241334.43806000001</v>
      </c>
      <c r="M124" s="5">
        <f>227578.56939-15.64974-8602.68606-211.92882-4284.06566</f>
        <v>214464.23910999999</v>
      </c>
      <c r="N124" s="34">
        <f>95319.51952-95.31952</f>
        <v>95224.2</v>
      </c>
      <c r="O124" s="5"/>
      <c r="P124" s="5"/>
    </row>
    <row r="125" spans="2:18" ht="30.75" customHeight="1" x14ac:dyDescent="0.25">
      <c r="B125" s="47"/>
      <c r="C125" s="45"/>
      <c r="D125" s="45"/>
      <c r="E125" s="46"/>
      <c r="F125" s="7" t="s">
        <v>4</v>
      </c>
      <c r="G125" s="5">
        <f>SUM(H125:P125)</f>
        <v>9016.3016200000002</v>
      </c>
      <c r="H125" s="5"/>
      <c r="I125" s="5">
        <v>1500</v>
      </c>
      <c r="J125" s="5">
        <f>95.77483+202.82098+219.48191+268.58195+11.27334+1.12004+2.97+2.92+26.20695</f>
        <v>831.15</v>
      </c>
      <c r="K125" s="5">
        <v>1215.45001</v>
      </c>
      <c r="L125" s="5">
        <f>285.73292+669.87+335.63703+443.63326+181.06321+521.78518</f>
        <v>2437.7216000000003</v>
      </c>
      <c r="M125" s="5">
        <f>2068.89609+15.64974-86.89582+211.92882-43.27337</f>
        <v>2166.30546</v>
      </c>
      <c r="N125" s="34">
        <f>866.54109-0.86654</f>
        <v>865.67455000000007</v>
      </c>
      <c r="O125" s="5"/>
      <c r="P125" s="5"/>
      <c r="Q125" s="16"/>
      <c r="R125" s="16"/>
    </row>
    <row r="126" spans="2:18" ht="30.75" customHeight="1" x14ac:dyDescent="0.25">
      <c r="B126" s="47"/>
      <c r="C126" s="45"/>
      <c r="D126" s="45"/>
      <c r="E126" s="46"/>
      <c r="F126" s="10" t="s">
        <v>62</v>
      </c>
      <c r="G126" s="5">
        <f>SUM(H126:P126)</f>
        <v>186907.31</v>
      </c>
      <c r="H126" s="5"/>
      <c r="I126" s="5"/>
      <c r="J126" s="5"/>
      <c r="K126" s="17">
        <f>26907.31</f>
        <v>26907.31</v>
      </c>
      <c r="L126" s="5">
        <v>90000</v>
      </c>
      <c r="M126" s="5">
        <f>70000+52984.7768-52984.7768</f>
        <v>70000</v>
      </c>
      <c r="N126" s="34">
        <v>0</v>
      </c>
      <c r="O126" s="5"/>
      <c r="P126" s="5"/>
      <c r="Q126" s="16"/>
    </row>
    <row r="127" spans="2:18" ht="30.75" customHeight="1" x14ac:dyDescent="0.25">
      <c r="B127" s="47"/>
      <c r="C127" s="45"/>
      <c r="D127" s="45"/>
      <c r="E127" s="46"/>
      <c r="F127" s="7" t="s">
        <v>5</v>
      </c>
      <c r="G127" s="5">
        <f>SUM(H127:P127)</f>
        <v>38386.349249999999</v>
      </c>
      <c r="H127" s="5"/>
      <c r="I127" s="5">
        <v>696.54</v>
      </c>
      <c r="J127" s="5"/>
      <c r="K127" s="5"/>
      <c r="L127" s="5">
        <f>1535.232+984.4512</f>
        <v>2519.6831999999999</v>
      </c>
      <c r="M127" s="5">
        <f>70.07007+53.03782+14677.4148+273.41755</f>
        <v>15073.94024</v>
      </c>
      <c r="N127" s="34">
        <f>96.28234-0.09628+19999.99975</f>
        <v>20096.185809999999</v>
      </c>
      <c r="O127" s="5"/>
      <c r="P127" s="5"/>
    </row>
    <row r="128" spans="2:18" ht="25.5" x14ac:dyDescent="0.25">
      <c r="B128" s="47"/>
      <c r="C128" s="45"/>
      <c r="D128" s="45"/>
      <c r="E128" s="46"/>
      <c r="F128" s="7" t="s">
        <v>6</v>
      </c>
      <c r="G128" s="5">
        <f>SUM(H128:P128)</f>
        <v>0</v>
      </c>
      <c r="H128" s="5"/>
      <c r="I128" s="5"/>
      <c r="J128" s="5"/>
      <c r="K128" s="5"/>
      <c r="L128" s="5"/>
      <c r="M128" s="5">
        <v>0</v>
      </c>
      <c r="N128" s="5">
        <v>0</v>
      </c>
      <c r="O128" s="5"/>
      <c r="P128" s="5"/>
      <c r="R128" s="3" t="s">
        <v>74</v>
      </c>
    </row>
    <row r="129" spans="2:16" ht="19.5" hidden="1" customHeight="1" x14ac:dyDescent="0.25">
      <c r="B129" s="47" t="s">
        <v>17</v>
      </c>
      <c r="C129" s="45" t="s">
        <v>18</v>
      </c>
      <c r="D129" s="45" t="s">
        <v>16</v>
      </c>
      <c r="E129" s="61" t="s">
        <v>12</v>
      </c>
      <c r="F129" s="4" t="s">
        <v>2</v>
      </c>
      <c r="G129" s="5">
        <f>SUM(G130:G133)</f>
        <v>0</v>
      </c>
      <c r="H129" s="5">
        <f>SUM(H130:H133)</f>
        <v>0</v>
      </c>
      <c r="I129" s="5">
        <f>SUM(I130:I133)</f>
        <v>0</v>
      </c>
      <c r="J129" s="5">
        <f>SUM(J130:J133)</f>
        <v>0</v>
      </c>
      <c r="K129" s="5"/>
      <c r="L129" s="5"/>
      <c r="M129" s="5">
        <f>SUM(M130:M133)</f>
        <v>0</v>
      </c>
      <c r="N129" s="5">
        <f>SUM(N130:N133)</f>
        <v>0</v>
      </c>
      <c r="O129" s="5">
        <f>SUM(O130:O133)</f>
        <v>0</v>
      </c>
      <c r="P129" s="5">
        <f>SUM(P130:P133)</f>
        <v>0</v>
      </c>
    </row>
    <row r="130" spans="2:16" ht="30.75" hidden="1" customHeight="1" x14ac:dyDescent="0.25">
      <c r="B130" s="47"/>
      <c r="C130" s="45"/>
      <c r="D130" s="45"/>
      <c r="E130" s="61"/>
      <c r="F130" s="7" t="s">
        <v>3</v>
      </c>
      <c r="G130" s="5">
        <f>SUM(H130:P130)</f>
        <v>0</v>
      </c>
      <c r="H130" s="5"/>
      <c r="I130" s="5"/>
      <c r="J130" s="5"/>
      <c r="K130" s="5"/>
      <c r="L130" s="5"/>
      <c r="M130" s="5"/>
      <c r="N130" s="5"/>
      <c r="O130" s="5"/>
      <c r="P130" s="5"/>
    </row>
    <row r="131" spans="2:16" ht="30" hidden="1" customHeight="1" x14ac:dyDescent="0.25">
      <c r="B131" s="47"/>
      <c r="C131" s="45"/>
      <c r="D131" s="45"/>
      <c r="E131" s="61"/>
      <c r="F131" s="7" t="s">
        <v>4</v>
      </c>
      <c r="G131" s="5">
        <f>SUM(H131:P131)</f>
        <v>0</v>
      </c>
      <c r="H131" s="5"/>
      <c r="I131" s="5"/>
      <c r="J131" s="5"/>
      <c r="K131" s="5"/>
      <c r="L131" s="5"/>
      <c r="M131" s="5"/>
      <c r="N131" s="5"/>
      <c r="O131" s="5"/>
      <c r="P131" s="5"/>
    </row>
    <row r="132" spans="2:16" ht="27.75" hidden="1" customHeight="1" x14ac:dyDescent="0.25">
      <c r="B132" s="47"/>
      <c r="C132" s="45"/>
      <c r="D132" s="45"/>
      <c r="E132" s="61"/>
      <c r="F132" s="7" t="s">
        <v>5</v>
      </c>
      <c r="G132" s="5">
        <f>SUM(H132:P132)</f>
        <v>0</v>
      </c>
      <c r="H132" s="5"/>
      <c r="I132" s="5"/>
      <c r="J132" s="5"/>
      <c r="K132" s="5"/>
      <c r="L132" s="5"/>
      <c r="M132" s="5"/>
      <c r="N132" s="5"/>
      <c r="O132" s="5"/>
      <c r="P132" s="5"/>
    </row>
    <row r="133" spans="2:16" ht="26.25" hidden="1" customHeight="1" x14ac:dyDescent="0.25">
      <c r="B133" s="47"/>
      <c r="C133" s="45"/>
      <c r="D133" s="45"/>
      <c r="E133" s="61"/>
      <c r="F133" s="7" t="s">
        <v>6</v>
      </c>
      <c r="G133" s="5">
        <f>SUM(H133:P133)</f>
        <v>0</v>
      </c>
      <c r="H133" s="5"/>
      <c r="I133" s="5"/>
      <c r="J133" s="5"/>
      <c r="K133" s="5"/>
      <c r="L133" s="5"/>
      <c r="M133" s="5"/>
      <c r="N133" s="5"/>
      <c r="O133" s="5"/>
      <c r="P133" s="5"/>
    </row>
    <row r="134" spans="2:16" ht="21" customHeight="1" x14ac:dyDescent="0.25">
      <c r="B134" s="47" t="s">
        <v>47</v>
      </c>
      <c r="C134" s="45" t="s">
        <v>81</v>
      </c>
      <c r="D134" s="45" t="s">
        <v>75</v>
      </c>
      <c r="E134" s="46" t="s">
        <v>12</v>
      </c>
      <c r="F134" s="4" t="s">
        <v>2</v>
      </c>
      <c r="G134" s="5">
        <f t="shared" ref="G134:P134" si="50">SUM(G135:G139)</f>
        <v>14491.064180000001</v>
      </c>
      <c r="H134" s="5">
        <f t="shared" si="50"/>
        <v>0</v>
      </c>
      <c r="I134" s="5">
        <f t="shared" si="50"/>
        <v>100</v>
      </c>
      <c r="J134" s="5">
        <f t="shared" si="50"/>
        <v>654.99999999999989</v>
      </c>
      <c r="K134" s="5">
        <f t="shared" si="50"/>
        <v>2924.5364</v>
      </c>
      <c r="L134" s="5">
        <f t="shared" si="50"/>
        <v>3365</v>
      </c>
      <c r="M134" s="5">
        <f>SUM(M135:M139)</f>
        <v>7446.5277800000003</v>
      </c>
      <c r="N134" s="5">
        <f>SUM(N135:N139)</f>
        <v>0</v>
      </c>
      <c r="O134" s="5">
        <f t="shared" ref="O134" si="51">SUM(O135:O139)</f>
        <v>0</v>
      </c>
      <c r="P134" s="5">
        <f t="shared" si="50"/>
        <v>0</v>
      </c>
    </row>
    <row r="135" spans="2:16" ht="26.25" customHeight="1" x14ac:dyDescent="0.25">
      <c r="B135" s="47"/>
      <c r="C135" s="45"/>
      <c r="D135" s="45"/>
      <c r="E135" s="46"/>
      <c r="F135" s="7" t="s">
        <v>3</v>
      </c>
      <c r="G135" s="5">
        <f>SUM(H135:P135)</f>
        <v>549.44999999999993</v>
      </c>
      <c r="H135" s="5"/>
      <c r="I135" s="5"/>
      <c r="J135" s="5">
        <f>89.1+178.2+282.15</f>
        <v>549.44999999999993</v>
      </c>
      <c r="K135" s="5"/>
      <c r="L135" s="5"/>
      <c r="M135" s="5">
        <v>0</v>
      </c>
      <c r="N135" s="5">
        <v>0</v>
      </c>
      <c r="O135" s="5"/>
      <c r="P135" s="5"/>
    </row>
    <row r="136" spans="2:16" ht="27" customHeight="1" x14ac:dyDescent="0.25">
      <c r="B136" s="47"/>
      <c r="C136" s="45"/>
      <c r="D136" s="45"/>
      <c r="E136" s="46"/>
      <c r="F136" s="7" t="s">
        <v>4</v>
      </c>
      <c r="G136" s="5">
        <f>SUM(H136:P136)</f>
        <v>5.5500000000000007</v>
      </c>
      <c r="H136" s="5"/>
      <c r="I136" s="5"/>
      <c r="J136" s="5">
        <f>0.9+1.8+2.85</f>
        <v>5.5500000000000007</v>
      </c>
      <c r="K136" s="5"/>
      <c r="L136" s="5"/>
      <c r="M136" s="5">
        <v>0</v>
      </c>
      <c r="N136" s="5">
        <v>0</v>
      </c>
      <c r="O136" s="5"/>
      <c r="P136" s="5"/>
    </row>
    <row r="137" spans="2:16" ht="27" customHeight="1" x14ac:dyDescent="0.25">
      <c r="B137" s="47"/>
      <c r="C137" s="45"/>
      <c r="D137" s="45"/>
      <c r="E137" s="46"/>
      <c r="F137" s="10" t="s">
        <v>62</v>
      </c>
      <c r="G137" s="5">
        <f>SUM(H137:P137)</f>
        <v>0</v>
      </c>
      <c r="H137" s="5"/>
      <c r="I137" s="5"/>
      <c r="J137" s="5"/>
      <c r="K137" s="5"/>
      <c r="L137" s="5"/>
      <c r="M137" s="5">
        <v>0</v>
      </c>
      <c r="N137" s="5">
        <v>0</v>
      </c>
      <c r="O137" s="5"/>
      <c r="P137" s="5"/>
    </row>
    <row r="138" spans="2:16" ht="25.5" customHeight="1" x14ac:dyDescent="0.25">
      <c r="B138" s="47"/>
      <c r="C138" s="45"/>
      <c r="D138" s="45"/>
      <c r="E138" s="46"/>
      <c r="F138" s="7" t="s">
        <v>5</v>
      </c>
      <c r="G138" s="5">
        <f>SUM(H138:P138)</f>
        <v>13936.064180000001</v>
      </c>
      <c r="H138" s="5"/>
      <c r="I138" s="5">
        <f>100</f>
        <v>100</v>
      </c>
      <c r="J138" s="5">
        <f>100</f>
        <v>100</v>
      </c>
      <c r="K138" s="5">
        <f>2884.5364+40</f>
        <v>2924.5364</v>
      </c>
      <c r="L138" s="5">
        <f>598+595+598+385+590+599</f>
        <v>3365</v>
      </c>
      <c r="M138" s="5">
        <f>5757.02193+1689.50585</f>
        <v>7446.5277800000003</v>
      </c>
      <c r="N138" s="5">
        <v>0</v>
      </c>
      <c r="O138" s="5"/>
      <c r="P138" s="5"/>
    </row>
    <row r="139" spans="2:16" ht="29.25" customHeight="1" x14ac:dyDescent="0.25">
      <c r="B139" s="47"/>
      <c r="C139" s="45"/>
      <c r="D139" s="45"/>
      <c r="E139" s="46"/>
      <c r="F139" s="7" t="s">
        <v>6</v>
      </c>
      <c r="G139" s="5">
        <f>SUM(H139:P139)</f>
        <v>0</v>
      </c>
      <c r="H139" s="5"/>
      <c r="I139" s="5"/>
      <c r="J139" s="5"/>
      <c r="K139" s="5"/>
      <c r="L139" s="5"/>
      <c r="M139" s="5">
        <v>0</v>
      </c>
      <c r="N139" s="5">
        <v>0</v>
      </c>
      <c r="O139" s="5"/>
      <c r="P139" s="5"/>
    </row>
    <row r="140" spans="2:16" ht="21.75" customHeight="1" x14ac:dyDescent="0.25">
      <c r="B140" s="47" t="s">
        <v>48</v>
      </c>
      <c r="C140" s="45" t="s">
        <v>65</v>
      </c>
      <c r="D140" s="45" t="s">
        <v>92</v>
      </c>
      <c r="E140" s="46" t="s">
        <v>55</v>
      </c>
      <c r="F140" s="4" t="s">
        <v>2</v>
      </c>
      <c r="G140" s="5">
        <f t="shared" ref="G140:P140" si="52">SUM(G141:G145)</f>
        <v>7701.2092400000001</v>
      </c>
      <c r="H140" s="5">
        <f t="shared" si="52"/>
        <v>0</v>
      </c>
      <c r="I140" s="5">
        <f t="shared" si="52"/>
        <v>501.99923999999999</v>
      </c>
      <c r="J140" s="5">
        <f t="shared" si="52"/>
        <v>0</v>
      </c>
      <c r="K140" s="5">
        <f t="shared" si="52"/>
        <v>6599.21</v>
      </c>
      <c r="L140" s="5">
        <f t="shared" si="52"/>
        <v>0</v>
      </c>
      <c r="M140" s="5">
        <f>SUM(M141:M145)</f>
        <v>600</v>
      </c>
      <c r="N140" s="5">
        <f>SUM(N141:N145)</f>
        <v>0</v>
      </c>
      <c r="O140" s="5">
        <f t="shared" ref="O140" si="53">SUM(O141:O145)</f>
        <v>0</v>
      </c>
      <c r="P140" s="5">
        <f t="shared" si="52"/>
        <v>0</v>
      </c>
    </row>
    <row r="141" spans="2:16" ht="26.25" customHeight="1" x14ac:dyDescent="0.25">
      <c r="B141" s="47"/>
      <c r="C141" s="45"/>
      <c r="D141" s="45"/>
      <c r="E141" s="46"/>
      <c r="F141" s="7" t="s">
        <v>3</v>
      </c>
      <c r="G141" s="5">
        <f>SUM(H141:P141)</f>
        <v>0</v>
      </c>
      <c r="H141" s="5"/>
      <c r="I141" s="5"/>
      <c r="J141" s="5"/>
      <c r="K141" s="5"/>
      <c r="L141" s="5"/>
      <c r="M141" s="5">
        <v>0</v>
      </c>
      <c r="N141" s="5">
        <v>0</v>
      </c>
      <c r="O141" s="5"/>
      <c r="P141" s="5"/>
    </row>
    <row r="142" spans="2:16" ht="25.5" customHeight="1" x14ac:dyDescent="0.25">
      <c r="B142" s="47"/>
      <c r="C142" s="45"/>
      <c r="D142" s="45"/>
      <c r="E142" s="46"/>
      <c r="F142" s="7" t="s">
        <v>4</v>
      </c>
      <c r="G142" s="5">
        <f>SUM(H142:P142)</f>
        <v>0</v>
      </c>
      <c r="H142" s="5"/>
      <c r="I142" s="5"/>
      <c r="J142" s="5"/>
      <c r="K142" s="5"/>
      <c r="L142" s="5"/>
      <c r="M142" s="5">
        <v>0</v>
      </c>
      <c r="N142" s="5">
        <v>0</v>
      </c>
      <c r="O142" s="5"/>
      <c r="P142" s="5"/>
    </row>
    <row r="143" spans="2:16" ht="25.5" customHeight="1" x14ac:dyDescent="0.25">
      <c r="B143" s="47"/>
      <c r="C143" s="45"/>
      <c r="D143" s="45"/>
      <c r="E143" s="46"/>
      <c r="F143" s="10" t="s">
        <v>62</v>
      </c>
      <c r="G143" s="5">
        <f>SUM(H143:P143)</f>
        <v>5700</v>
      </c>
      <c r="H143" s="5"/>
      <c r="I143" s="5"/>
      <c r="J143" s="5"/>
      <c r="K143" s="5">
        <v>5700</v>
      </c>
      <c r="L143" s="5"/>
      <c r="M143" s="5">
        <v>0</v>
      </c>
      <c r="N143" s="5">
        <v>0</v>
      </c>
      <c r="O143" s="5"/>
      <c r="P143" s="5"/>
    </row>
    <row r="144" spans="2:16" ht="27.75" customHeight="1" x14ac:dyDescent="0.25">
      <c r="B144" s="47"/>
      <c r="C144" s="45"/>
      <c r="D144" s="45"/>
      <c r="E144" s="46"/>
      <c r="F144" s="7" t="s">
        <v>5</v>
      </c>
      <c r="G144" s="5">
        <f>SUM(H144:P144)</f>
        <v>2001.2092400000001</v>
      </c>
      <c r="H144" s="5"/>
      <c r="I144" s="5">
        <v>501.99923999999999</v>
      </c>
      <c r="J144" s="5"/>
      <c r="K144" s="5">
        <f>1149.21-250</f>
        <v>899.21</v>
      </c>
      <c r="L144" s="5">
        <v>0</v>
      </c>
      <c r="M144" s="5">
        <v>600</v>
      </c>
      <c r="N144" s="5">
        <v>0</v>
      </c>
      <c r="O144" s="5"/>
      <c r="P144" s="5"/>
    </row>
    <row r="145" spans="2:16" ht="59.25" customHeight="1" x14ac:dyDescent="0.25">
      <c r="B145" s="47"/>
      <c r="C145" s="45"/>
      <c r="D145" s="45"/>
      <c r="E145" s="46"/>
      <c r="F145" s="7" t="s">
        <v>6</v>
      </c>
      <c r="G145" s="5">
        <f>SUM(H145:P145)</f>
        <v>0</v>
      </c>
      <c r="H145" s="5"/>
      <c r="I145" s="5"/>
      <c r="J145" s="5"/>
      <c r="K145" s="5"/>
      <c r="L145" s="5"/>
      <c r="M145" s="5">
        <v>0</v>
      </c>
      <c r="N145" s="5">
        <v>0</v>
      </c>
      <c r="O145" s="5"/>
      <c r="P145" s="5"/>
    </row>
    <row r="146" spans="2:16" ht="15.75" customHeight="1" x14ac:dyDescent="0.25">
      <c r="B146" s="47" t="s">
        <v>49</v>
      </c>
      <c r="C146" s="45" t="s">
        <v>69</v>
      </c>
      <c r="D146" s="45">
        <v>2019</v>
      </c>
      <c r="E146" s="46" t="s">
        <v>12</v>
      </c>
      <c r="F146" s="4" t="s">
        <v>2</v>
      </c>
      <c r="G146" s="5">
        <f t="shared" ref="G146:P146" si="54">SUM(G147:G151)</f>
        <v>1405.8150000000001</v>
      </c>
      <c r="H146" s="5">
        <f t="shared" si="54"/>
        <v>0</v>
      </c>
      <c r="I146" s="5">
        <f t="shared" si="54"/>
        <v>0</v>
      </c>
      <c r="J146" s="5">
        <f t="shared" si="54"/>
        <v>1405.8150000000001</v>
      </c>
      <c r="K146" s="5">
        <f t="shared" si="54"/>
        <v>0</v>
      </c>
      <c r="L146" s="5">
        <v>0</v>
      </c>
      <c r="M146" s="5">
        <f>SUM(M147:M151)</f>
        <v>0</v>
      </c>
      <c r="N146" s="5">
        <f>SUM(N147:N151)</f>
        <v>0</v>
      </c>
      <c r="O146" s="5">
        <f t="shared" ref="O146" si="55">SUM(O147:O151)</f>
        <v>0</v>
      </c>
      <c r="P146" s="5">
        <f t="shared" si="54"/>
        <v>0</v>
      </c>
    </row>
    <row r="147" spans="2:16" ht="27" customHeight="1" x14ac:dyDescent="0.25">
      <c r="B147" s="47"/>
      <c r="C147" s="45"/>
      <c r="D147" s="45"/>
      <c r="E147" s="46"/>
      <c r="F147" s="7" t="s">
        <v>3</v>
      </c>
      <c r="G147" s="5">
        <f>SUM(H147:P147)</f>
        <v>0</v>
      </c>
      <c r="H147" s="5"/>
      <c r="I147" s="5"/>
      <c r="J147" s="5"/>
      <c r="K147" s="5"/>
      <c r="L147" s="5"/>
      <c r="M147" s="5">
        <v>0</v>
      </c>
      <c r="N147" s="5">
        <v>0</v>
      </c>
      <c r="O147" s="5"/>
      <c r="P147" s="5"/>
    </row>
    <row r="148" spans="2:16" ht="27.75" customHeight="1" x14ac:dyDescent="0.25">
      <c r="B148" s="47"/>
      <c r="C148" s="45"/>
      <c r="D148" s="45"/>
      <c r="E148" s="46"/>
      <c r="F148" s="7" t="s">
        <v>4</v>
      </c>
      <c r="G148" s="5">
        <f>SUM(H148:P148)</f>
        <v>0</v>
      </c>
      <c r="H148" s="5"/>
      <c r="I148" s="5"/>
      <c r="J148" s="5"/>
      <c r="K148" s="5"/>
      <c r="L148" s="5"/>
      <c r="M148" s="5">
        <v>0</v>
      </c>
      <c r="N148" s="5">
        <v>0</v>
      </c>
      <c r="O148" s="5"/>
      <c r="P148" s="5"/>
    </row>
    <row r="149" spans="2:16" ht="27.75" customHeight="1" x14ac:dyDescent="0.25">
      <c r="B149" s="47"/>
      <c r="C149" s="45"/>
      <c r="D149" s="45"/>
      <c r="E149" s="46"/>
      <c r="F149" s="10" t="s">
        <v>62</v>
      </c>
      <c r="G149" s="5">
        <f>SUM(H149:P149)</f>
        <v>0</v>
      </c>
      <c r="H149" s="5"/>
      <c r="I149" s="5"/>
      <c r="J149" s="5"/>
      <c r="K149" s="5"/>
      <c r="L149" s="5"/>
      <c r="M149" s="5">
        <v>0</v>
      </c>
      <c r="N149" s="5">
        <v>0</v>
      </c>
      <c r="O149" s="5"/>
      <c r="P149" s="5"/>
    </row>
    <row r="150" spans="2:16" ht="25.5" x14ac:dyDescent="0.25">
      <c r="B150" s="47"/>
      <c r="C150" s="45"/>
      <c r="D150" s="45"/>
      <c r="E150" s="46"/>
      <c r="F150" s="7" t="s">
        <v>5</v>
      </c>
      <c r="G150" s="5">
        <f>SUM(H150:P150)</f>
        <v>1405.8150000000001</v>
      </c>
      <c r="H150" s="5"/>
      <c r="I150" s="5"/>
      <c r="J150" s="5">
        <v>1405.8150000000001</v>
      </c>
      <c r="K150" s="5"/>
      <c r="L150" s="5"/>
      <c r="M150" s="5">
        <v>0</v>
      </c>
      <c r="N150" s="5">
        <v>0</v>
      </c>
      <c r="O150" s="5"/>
      <c r="P150" s="5"/>
    </row>
    <row r="151" spans="2:16" ht="25.5" x14ac:dyDescent="0.25">
      <c r="B151" s="47"/>
      <c r="C151" s="45"/>
      <c r="D151" s="45"/>
      <c r="E151" s="46"/>
      <c r="F151" s="7" t="s">
        <v>6</v>
      </c>
      <c r="G151" s="5">
        <f>SUM(H151:P151)</f>
        <v>0</v>
      </c>
      <c r="H151" s="5"/>
      <c r="I151" s="5"/>
      <c r="J151" s="5"/>
      <c r="K151" s="5"/>
      <c r="L151" s="5"/>
      <c r="M151" s="5">
        <v>0</v>
      </c>
      <c r="N151" s="5">
        <v>0</v>
      </c>
      <c r="O151" s="5"/>
      <c r="P151" s="5"/>
    </row>
    <row r="152" spans="2:16" x14ac:dyDescent="0.25">
      <c r="B152" s="47" t="s">
        <v>50</v>
      </c>
      <c r="C152" s="45" t="s">
        <v>61</v>
      </c>
      <c r="D152" s="45" t="s">
        <v>56</v>
      </c>
      <c r="E152" s="46" t="s">
        <v>12</v>
      </c>
      <c r="F152" s="4" t="s">
        <v>2</v>
      </c>
      <c r="G152" s="5">
        <f t="shared" ref="G152:P152" si="56">SUM(G153:G157)</f>
        <v>2635</v>
      </c>
      <c r="H152" s="5">
        <f t="shared" si="56"/>
        <v>0</v>
      </c>
      <c r="I152" s="5">
        <f t="shared" si="56"/>
        <v>0</v>
      </c>
      <c r="J152" s="5">
        <f t="shared" si="56"/>
        <v>1180</v>
      </c>
      <c r="K152" s="5">
        <f t="shared" si="56"/>
        <v>1455</v>
      </c>
      <c r="L152" s="5">
        <f t="shared" si="56"/>
        <v>0</v>
      </c>
      <c r="M152" s="5">
        <f>SUM(M153:M157)</f>
        <v>0</v>
      </c>
      <c r="N152" s="5">
        <f>SUM(N153:N157)</f>
        <v>0</v>
      </c>
      <c r="O152" s="5">
        <f t="shared" ref="O152" si="57">SUM(O153:O157)</f>
        <v>0</v>
      </c>
      <c r="P152" s="5">
        <f t="shared" si="56"/>
        <v>0</v>
      </c>
    </row>
    <row r="153" spans="2:16" ht="25.5" customHeight="1" x14ac:dyDescent="0.25">
      <c r="B153" s="47"/>
      <c r="C153" s="45"/>
      <c r="D153" s="45"/>
      <c r="E153" s="46"/>
      <c r="F153" s="7" t="s">
        <v>3</v>
      </c>
      <c r="G153" s="5">
        <f>SUM(H153:P153)</f>
        <v>2608.65</v>
      </c>
      <c r="H153" s="5"/>
      <c r="I153" s="5"/>
      <c r="J153" s="5">
        <f>292.05+292.05+292.05+292.05</f>
        <v>1168.2</v>
      </c>
      <c r="K153" s="5">
        <v>1440.45</v>
      </c>
      <c r="L153" s="5"/>
      <c r="M153" s="5">
        <v>0</v>
      </c>
      <c r="N153" s="5">
        <v>0</v>
      </c>
      <c r="O153" s="5"/>
      <c r="P153" s="5"/>
    </row>
    <row r="154" spans="2:16" ht="25.5" x14ac:dyDescent="0.25">
      <c r="B154" s="47"/>
      <c r="C154" s="45"/>
      <c r="D154" s="45"/>
      <c r="E154" s="46"/>
      <c r="F154" s="7" t="s">
        <v>4</v>
      </c>
      <c r="G154" s="5">
        <f>SUM(H154:P154)</f>
        <v>26.35</v>
      </c>
      <c r="H154" s="5"/>
      <c r="I154" s="5"/>
      <c r="J154" s="5">
        <f>2.95+2.95+2.95+2.95</f>
        <v>11.8</v>
      </c>
      <c r="K154" s="5">
        <v>14.55</v>
      </c>
      <c r="L154" s="5"/>
      <c r="M154" s="5">
        <v>0</v>
      </c>
      <c r="N154" s="5">
        <v>0</v>
      </c>
      <c r="O154" s="5"/>
      <c r="P154" s="5"/>
    </row>
    <row r="155" spans="2:16" ht="25.5" x14ac:dyDescent="0.25">
      <c r="B155" s="47"/>
      <c r="C155" s="45"/>
      <c r="D155" s="45"/>
      <c r="E155" s="46"/>
      <c r="F155" s="10" t="s">
        <v>62</v>
      </c>
      <c r="G155" s="5">
        <f>SUM(H155:P155)</f>
        <v>0</v>
      </c>
      <c r="H155" s="5"/>
      <c r="I155" s="5"/>
      <c r="J155" s="5"/>
      <c r="K155" s="5"/>
      <c r="L155" s="5"/>
      <c r="M155" s="5">
        <v>0</v>
      </c>
      <c r="N155" s="5">
        <v>0</v>
      </c>
      <c r="O155" s="5"/>
      <c r="P155" s="5"/>
    </row>
    <row r="156" spans="2:16" ht="25.5" x14ac:dyDescent="0.25">
      <c r="B156" s="47"/>
      <c r="C156" s="45"/>
      <c r="D156" s="45"/>
      <c r="E156" s="46"/>
      <c r="F156" s="7" t="s">
        <v>5</v>
      </c>
      <c r="G156" s="5">
        <f>SUM(H156:P156)</f>
        <v>0</v>
      </c>
      <c r="H156" s="5"/>
      <c r="I156" s="5"/>
      <c r="J156" s="5"/>
      <c r="K156" s="5"/>
      <c r="L156" s="5"/>
      <c r="M156" s="5">
        <v>0</v>
      </c>
      <c r="N156" s="5">
        <v>0</v>
      </c>
      <c r="O156" s="5"/>
      <c r="P156" s="5"/>
    </row>
    <row r="157" spans="2:16" ht="36" customHeight="1" x14ac:dyDescent="0.25">
      <c r="B157" s="47"/>
      <c r="C157" s="45"/>
      <c r="D157" s="45"/>
      <c r="E157" s="46"/>
      <c r="F157" s="7" t="s">
        <v>6</v>
      </c>
      <c r="G157" s="5">
        <f>SUM(H157:P157)</f>
        <v>0</v>
      </c>
      <c r="H157" s="5"/>
      <c r="I157" s="5"/>
      <c r="J157" s="5"/>
      <c r="K157" s="5"/>
      <c r="L157" s="5"/>
      <c r="M157" s="5">
        <v>0</v>
      </c>
      <c r="N157" s="5">
        <v>0</v>
      </c>
      <c r="O157" s="5"/>
      <c r="P157" s="5"/>
    </row>
    <row r="158" spans="2:16" ht="24.75" customHeight="1" x14ac:dyDescent="0.25">
      <c r="B158" s="47" t="s">
        <v>52</v>
      </c>
      <c r="C158" s="45" t="s">
        <v>57</v>
      </c>
      <c r="D158" s="45">
        <v>2019</v>
      </c>
      <c r="E158" s="46" t="s">
        <v>12</v>
      </c>
      <c r="F158" s="4" t="s">
        <v>2</v>
      </c>
      <c r="G158" s="5">
        <f t="shared" ref="G158:P158" si="58">SUM(G159:G163)</f>
        <v>150</v>
      </c>
      <c r="H158" s="5">
        <f t="shared" si="58"/>
        <v>0</v>
      </c>
      <c r="I158" s="5">
        <f t="shared" si="58"/>
        <v>0</v>
      </c>
      <c r="J158" s="5">
        <f t="shared" si="58"/>
        <v>150</v>
      </c>
      <c r="K158" s="5">
        <f t="shared" si="58"/>
        <v>0</v>
      </c>
      <c r="L158" s="5">
        <f t="shared" si="58"/>
        <v>0</v>
      </c>
      <c r="M158" s="5">
        <f>SUM(M159:M163)</f>
        <v>0</v>
      </c>
      <c r="N158" s="5">
        <f>SUM(N159:N163)</f>
        <v>0</v>
      </c>
      <c r="O158" s="5">
        <f t="shared" ref="O158" si="59">SUM(O159:O163)</f>
        <v>0</v>
      </c>
      <c r="P158" s="5">
        <f t="shared" si="58"/>
        <v>0</v>
      </c>
    </row>
    <row r="159" spans="2:16" ht="24.75" customHeight="1" x14ac:dyDescent="0.25">
      <c r="B159" s="47"/>
      <c r="C159" s="45"/>
      <c r="D159" s="45"/>
      <c r="E159" s="46"/>
      <c r="F159" s="7" t="s">
        <v>3</v>
      </c>
      <c r="G159" s="5">
        <f>SUM(H159:P159)</f>
        <v>148.5</v>
      </c>
      <c r="H159" s="5"/>
      <c r="I159" s="5"/>
      <c r="J159" s="5">
        <f>150*0.99</f>
        <v>148.5</v>
      </c>
      <c r="K159" s="5"/>
      <c r="L159" s="5"/>
      <c r="M159" s="5">
        <v>0</v>
      </c>
      <c r="N159" s="5">
        <v>0</v>
      </c>
      <c r="O159" s="5"/>
      <c r="P159" s="5"/>
    </row>
    <row r="160" spans="2:16" ht="24.75" customHeight="1" x14ac:dyDescent="0.25">
      <c r="B160" s="47"/>
      <c r="C160" s="45"/>
      <c r="D160" s="45"/>
      <c r="E160" s="46"/>
      <c r="F160" s="7" t="s">
        <v>4</v>
      </c>
      <c r="G160" s="5">
        <f>SUM(H160:P160)</f>
        <v>1.5</v>
      </c>
      <c r="H160" s="5"/>
      <c r="I160" s="5"/>
      <c r="J160" s="5">
        <f>150*0.01</f>
        <v>1.5</v>
      </c>
      <c r="K160" s="5"/>
      <c r="L160" s="5"/>
      <c r="M160" s="5">
        <v>0</v>
      </c>
      <c r="N160" s="5">
        <v>0</v>
      </c>
      <c r="O160" s="5"/>
      <c r="P160" s="5"/>
    </row>
    <row r="161" spans="2:16" ht="24.75" customHeight="1" x14ac:dyDescent="0.25">
      <c r="B161" s="47"/>
      <c r="C161" s="45"/>
      <c r="D161" s="45"/>
      <c r="E161" s="46"/>
      <c r="F161" s="10" t="s">
        <v>62</v>
      </c>
      <c r="G161" s="5">
        <f>SUM(H161:P161)</f>
        <v>0</v>
      </c>
      <c r="H161" s="5"/>
      <c r="I161" s="5"/>
      <c r="J161" s="5"/>
      <c r="K161" s="5"/>
      <c r="L161" s="5"/>
      <c r="M161" s="5">
        <v>0</v>
      </c>
      <c r="N161" s="5">
        <v>0</v>
      </c>
      <c r="O161" s="5"/>
      <c r="P161" s="5"/>
    </row>
    <row r="162" spans="2:16" ht="24.75" customHeight="1" x14ac:dyDescent="0.25">
      <c r="B162" s="47"/>
      <c r="C162" s="45"/>
      <c r="D162" s="45"/>
      <c r="E162" s="46"/>
      <c r="F162" s="7" t="s">
        <v>5</v>
      </c>
      <c r="G162" s="5">
        <f>SUM(H162:P162)</f>
        <v>0</v>
      </c>
      <c r="H162" s="5"/>
      <c r="I162" s="5"/>
      <c r="J162" s="5"/>
      <c r="K162" s="5"/>
      <c r="L162" s="5"/>
      <c r="M162" s="5">
        <v>0</v>
      </c>
      <c r="N162" s="5">
        <v>0</v>
      </c>
      <c r="O162" s="5"/>
      <c r="P162" s="5"/>
    </row>
    <row r="163" spans="2:16" ht="24.75" customHeight="1" x14ac:dyDescent="0.25">
      <c r="B163" s="47"/>
      <c r="C163" s="45"/>
      <c r="D163" s="45"/>
      <c r="E163" s="46"/>
      <c r="F163" s="7" t="s">
        <v>6</v>
      </c>
      <c r="G163" s="5">
        <f>SUM(H163:P163)</f>
        <v>0</v>
      </c>
      <c r="H163" s="5"/>
      <c r="I163" s="5"/>
      <c r="J163" s="5"/>
      <c r="K163" s="5"/>
      <c r="L163" s="5"/>
      <c r="M163" s="5">
        <v>0</v>
      </c>
      <c r="N163" s="5">
        <v>0</v>
      </c>
      <c r="O163" s="5"/>
      <c r="P163" s="5"/>
    </row>
    <row r="164" spans="2:16" ht="24.75" customHeight="1" x14ac:dyDescent="0.25">
      <c r="B164" s="47" t="s">
        <v>53</v>
      </c>
      <c r="C164" s="45" t="s">
        <v>63</v>
      </c>
      <c r="D164" s="45">
        <v>2020</v>
      </c>
      <c r="E164" s="46" t="s">
        <v>12</v>
      </c>
      <c r="F164" s="4" t="s">
        <v>2</v>
      </c>
      <c r="G164" s="5">
        <f t="shared" ref="G164:L164" si="60">SUM(G165:G169)</f>
        <v>2500</v>
      </c>
      <c r="H164" s="5">
        <f t="shared" si="60"/>
        <v>0</v>
      </c>
      <c r="I164" s="5">
        <f t="shared" si="60"/>
        <v>0</v>
      </c>
      <c r="J164" s="5">
        <f t="shared" si="60"/>
        <v>0</v>
      </c>
      <c r="K164" s="5">
        <f t="shared" si="60"/>
        <v>2500</v>
      </c>
      <c r="L164" s="5">
        <f t="shared" si="60"/>
        <v>0</v>
      </c>
      <c r="M164" s="5">
        <f>SUM(M165:M169)</f>
        <v>0</v>
      </c>
      <c r="N164" s="5">
        <f>SUM(N165:N169)</f>
        <v>0</v>
      </c>
      <c r="O164" s="5">
        <f>SUM(O165:O169)</f>
        <v>0</v>
      </c>
      <c r="P164" s="5">
        <f>SUM(P165:P169)</f>
        <v>0</v>
      </c>
    </row>
    <row r="165" spans="2:16" ht="24.75" customHeight="1" x14ac:dyDescent="0.25">
      <c r="B165" s="47"/>
      <c r="C165" s="45"/>
      <c r="D165" s="45"/>
      <c r="E165" s="46"/>
      <c r="F165" s="7" t="s">
        <v>3</v>
      </c>
      <c r="G165" s="5">
        <f>SUM(H165:P165)</f>
        <v>0</v>
      </c>
      <c r="H165" s="5"/>
      <c r="I165" s="5"/>
      <c r="J165" s="5"/>
      <c r="K165" s="5"/>
      <c r="L165" s="5"/>
      <c r="M165" s="5">
        <v>0</v>
      </c>
      <c r="N165" s="5">
        <v>0</v>
      </c>
      <c r="O165" s="5"/>
      <c r="P165" s="5"/>
    </row>
    <row r="166" spans="2:16" ht="24.75" customHeight="1" x14ac:dyDescent="0.25">
      <c r="B166" s="47"/>
      <c r="C166" s="45"/>
      <c r="D166" s="45"/>
      <c r="E166" s="46"/>
      <c r="F166" s="7" t="s">
        <v>4</v>
      </c>
      <c r="G166" s="5">
        <f>SUM(H166:P166)</f>
        <v>0</v>
      </c>
      <c r="H166" s="5"/>
      <c r="I166" s="5"/>
      <c r="J166" s="5"/>
      <c r="K166" s="5"/>
      <c r="L166" s="5"/>
      <c r="M166" s="5">
        <v>0</v>
      </c>
      <c r="N166" s="5">
        <v>0</v>
      </c>
      <c r="O166" s="5"/>
      <c r="P166" s="5"/>
    </row>
    <row r="167" spans="2:16" ht="24.75" customHeight="1" x14ac:dyDescent="0.25">
      <c r="B167" s="47"/>
      <c r="C167" s="45"/>
      <c r="D167" s="45"/>
      <c r="E167" s="46"/>
      <c r="F167" s="10" t="s">
        <v>62</v>
      </c>
      <c r="G167" s="5">
        <f>SUM(H167:P167)</f>
        <v>2500</v>
      </c>
      <c r="H167" s="5"/>
      <c r="I167" s="5"/>
      <c r="J167" s="5"/>
      <c r="K167" s="5">
        <v>2500</v>
      </c>
      <c r="L167" s="5"/>
      <c r="M167" s="5">
        <v>0</v>
      </c>
      <c r="N167" s="5">
        <v>0</v>
      </c>
      <c r="O167" s="5"/>
      <c r="P167" s="5"/>
    </row>
    <row r="168" spans="2:16" ht="24.75" customHeight="1" x14ac:dyDescent="0.25">
      <c r="B168" s="47"/>
      <c r="C168" s="45"/>
      <c r="D168" s="45"/>
      <c r="E168" s="46"/>
      <c r="F168" s="7" t="s">
        <v>5</v>
      </c>
      <c r="G168" s="5">
        <f>SUM(H168:P168)</f>
        <v>0</v>
      </c>
      <c r="H168" s="5"/>
      <c r="I168" s="5"/>
      <c r="J168" s="5"/>
      <c r="K168" s="5"/>
      <c r="L168" s="5"/>
      <c r="M168" s="5">
        <v>0</v>
      </c>
      <c r="N168" s="5">
        <v>0</v>
      </c>
      <c r="O168" s="5"/>
      <c r="P168" s="5"/>
    </row>
    <row r="169" spans="2:16" ht="24.75" customHeight="1" x14ac:dyDescent="0.25">
      <c r="B169" s="47"/>
      <c r="C169" s="45"/>
      <c r="D169" s="45"/>
      <c r="E169" s="46"/>
      <c r="F169" s="7" t="s">
        <v>6</v>
      </c>
      <c r="G169" s="5">
        <f>SUM(H169:P169)</f>
        <v>0</v>
      </c>
      <c r="H169" s="5"/>
      <c r="I169" s="5"/>
      <c r="J169" s="5"/>
      <c r="K169" s="5"/>
      <c r="L169" s="5"/>
      <c r="M169" s="5">
        <v>0</v>
      </c>
      <c r="N169" s="5">
        <v>0</v>
      </c>
      <c r="O169" s="5"/>
      <c r="P169" s="5"/>
    </row>
    <row r="170" spans="2:16" ht="24.75" customHeight="1" x14ac:dyDescent="0.25">
      <c r="B170" s="47" t="s">
        <v>64</v>
      </c>
      <c r="C170" s="45" t="s">
        <v>44</v>
      </c>
      <c r="D170" s="45" t="s">
        <v>85</v>
      </c>
      <c r="E170" s="46" t="s">
        <v>12</v>
      </c>
      <c r="F170" s="4" t="s">
        <v>2</v>
      </c>
      <c r="G170" s="5">
        <f t="shared" ref="G170:P170" si="61">SUM(G171:G175)</f>
        <v>31386.432289999997</v>
      </c>
      <c r="H170" s="5">
        <f t="shared" si="61"/>
        <v>0</v>
      </c>
      <c r="I170" s="5">
        <f t="shared" si="61"/>
        <v>0</v>
      </c>
      <c r="J170" s="5">
        <f t="shared" si="61"/>
        <v>0</v>
      </c>
      <c r="K170" s="5">
        <f t="shared" si="61"/>
        <v>2866.57</v>
      </c>
      <c r="L170" s="5">
        <f t="shared" si="61"/>
        <v>113.6</v>
      </c>
      <c r="M170" s="5">
        <f>SUM(M171:M175)</f>
        <v>18897.63</v>
      </c>
      <c r="N170" s="5">
        <f>SUM(N171:N175)</f>
        <v>9508.6322899999996</v>
      </c>
      <c r="O170" s="5">
        <f t="shared" ref="O170" si="62">SUM(O171:O175)</f>
        <v>0</v>
      </c>
      <c r="P170" s="5">
        <f t="shared" si="61"/>
        <v>0</v>
      </c>
    </row>
    <row r="171" spans="2:16" ht="24.75" customHeight="1" x14ac:dyDescent="0.25">
      <c r="B171" s="47"/>
      <c r="C171" s="45"/>
      <c r="D171" s="45"/>
      <c r="E171" s="46"/>
      <c r="F171" s="7" t="s">
        <v>3</v>
      </c>
      <c r="G171" s="5">
        <f>SUM(H171:P171)</f>
        <v>0</v>
      </c>
      <c r="H171" s="5"/>
      <c r="I171" s="5"/>
      <c r="J171" s="5"/>
      <c r="K171" s="5"/>
      <c r="L171" s="5"/>
      <c r="M171" s="5">
        <v>0</v>
      </c>
      <c r="N171" s="5">
        <v>0</v>
      </c>
      <c r="O171" s="5"/>
      <c r="P171" s="5"/>
    </row>
    <row r="172" spans="2:16" ht="24.75" customHeight="1" x14ac:dyDescent="0.25">
      <c r="B172" s="47"/>
      <c r="C172" s="45"/>
      <c r="D172" s="45"/>
      <c r="E172" s="46"/>
      <c r="F172" s="7" t="s">
        <v>4</v>
      </c>
      <c r="G172" s="5">
        <f>SUM(H172:P172)</f>
        <v>0</v>
      </c>
      <c r="H172" s="5"/>
      <c r="I172" s="5"/>
      <c r="J172" s="5"/>
      <c r="K172" s="5"/>
      <c r="L172" s="5"/>
      <c r="M172" s="5">
        <v>0</v>
      </c>
      <c r="N172" s="5">
        <v>0</v>
      </c>
      <c r="O172" s="5"/>
      <c r="P172" s="5"/>
    </row>
    <row r="173" spans="2:16" ht="24.75" customHeight="1" x14ac:dyDescent="0.25">
      <c r="B173" s="47"/>
      <c r="C173" s="45"/>
      <c r="D173" s="45"/>
      <c r="E173" s="46"/>
      <c r="F173" s="10" t="s">
        <v>62</v>
      </c>
      <c r="G173" s="5">
        <f>SUM(H173:P173)</f>
        <v>2866.57</v>
      </c>
      <c r="H173" s="5"/>
      <c r="I173" s="5"/>
      <c r="J173" s="5"/>
      <c r="K173" s="5">
        <f>2866.57</f>
        <v>2866.57</v>
      </c>
      <c r="L173" s="5"/>
      <c r="M173" s="5">
        <v>0</v>
      </c>
      <c r="N173" s="5">
        <v>0</v>
      </c>
      <c r="O173" s="5"/>
      <c r="P173" s="5"/>
    </row>
    <row r="174" spans="2:16" ht="24.75" customHeight="1" x14ac:dyDescent="0.25">
      <c r="B174" s="47"/>
      <c r="C174" s="45"/>
      <c r="D174" s="45"/>
      <c r="E174" s="46"/>
      <c r="F174" s="7" t="s">
        <v>5</v>
      </c>
      <c r="G174" s="5">
        <f>SUM(H174:P174)</f>
        <v>28519.862289999997</v>
      </c>
      <c r="H174" s="5"/>
      <c r="I174" s="5"/>
      <c r="J174" s="5"/>
      <c r="K174" s="5"/>
      <c r="L174" s="5">
        <v>113.6</v>
      </c>
      <c r="M174" s="5">
        <v>18897.63</v>
      </c>
      <c r="N174" s="5">
        <f>9508.63229</f>
        <v>9508.6322899999996</v>
      </c>
      <c r="O174" s="5"/>
      <c r="P174" s="5"/>
    </row>
    <row r="175" spans="2:16" ht="24.75" customHeight="1" x14ac:dyDescent="0.25">
      <c r="B175" s="47"/>
      <c r="C175" s="45"/>
      <c r="D175" s="45"/>
      <c r="E175" s="46"/>
      <c r="F175" s="7" t="s">
        <v>6</v>
      </c>
      <c r="G175" s="5">
        <f>SUM(H175:P175)</f>
        <v>0</v>
      </c>
      <c r="H175" s="5"/>
      <c r="I175" s="5"/>
      <c r="J175" s="5"/>
      <c r="K175" s="5"/>
      <c r="L175" s="5"/>
      <c r="M175" s="5">
        <v>0</v>
      </c>
      <c r="N175" s="5">
        <v>0</v>
      </c>
      <c r="O175" s="5"/>
      <c r="P175" s="5"/>
    </row>
    <row r="176" spans="2:16" ht="28.5" hidden="1" customHeight="1" x14ac:dyDescent="0.25">
      <c r="B176" s="52"/>
      <c r="C176" s="51" t="s">
        <v>13</v>
      </c>
      <c r="D176" s="53">
        <v>2018</v>
      </c>
      <c r="E176" s="46" t="s">
        <v>12</v>
      </c>
      <c r="F176" s="4" t="s">
        <v>2</v>
      </c>
      <c r="G176" s="5">
        <f>SUM(G177:G180)</f>
        <v>0</v>
      </c>
      <c r="H176" s="5">
        <f>SUM(H177:H180)</f>
        <v>0</v>
      </c>
      <c r="I176" s="5">
        <f>SUM(I177:I180)</f>
        <v>0</v>
      </c>
      <c r="J176" s="5">
        <f>SUM(J177:J180)</f>
        <v>0</v>
      </c>
      <c r="K176" s="5"/>
      <c r="L176" s="5"/>
      <c r="M176" s="5">
        <f>SUM(M177:M180)</f>
        <v>0</v>
      </c>
      <c r="N176" s="5">
        <f>SUM(N177:N180)</f>
        <v>0</v>
      </c>
      <c r="O176" s="5">
        <f>SUM(O177:O180)</f>
        <v>0</v>
      </c>
      <c r="P176" s="5">
        <f>SUM(P177:P180)</f>
        <v>0</v>
      </c>
    </row>
    <row r="177" spans="2:16" ht="35.25" hidden="1" customHeight="1" x14ac:dyDescent="0.25">
      <c r="B177" s="52"/>
      <c r="C177" s="51"/>
      <c r="D177" s="54"/>
      <c r="E177" s="46"/>
      <c r="F177" s="7" t="s">
        <v>3</v>
      </c>
      <c r="G177" s="5">
        <f>SUM(H177:P177)</f>
        <v>0</v>
      </c>
      <c r="H177" s="5"/>
      <c r="I177" s="5"/>
      <c r="J177" s="5"/>
      <c r="K177" s="5"/>
      <c r="L177" s="5"/>
      <c r="M177" s="5"/>
      <c r="N177" s="5"/>
      <c r="O177" s="5"/>
      <c r="P177" s="5"/>
    </row>
    <row r="178" spans="2:16" ht="24.75" hidden="1" customHeight="1" x14ac:dyDescent="0.25">
      <c r="B178" s="52"/>
      <c r="C178" s="51"/>
      <c r="D178" s="54"/>
      <c r="E178" s="46"/>
      <c r="F178" s="7" t="s">
        <v>4</v>
      </c>
      <c r="G178" s="5">
        <f>SUM(H178:P178)</f>
        <v>0</v>
      </c>
      <c r="H178" s="5"/>
      <c r="I178" s="5"/>
      <c r="J178" s="5"/>
      <c r="K178" s="5"/>
      <c r="L178" s="5"/>
      <c r="M178" s="5"/>
      <c r="N178" s="5"/>
      <c r="O178" s="5"/>
      <c r="P178" s="5"/>
    </row>
    <row r="179" spans="2:16" ht="40.5" hidden="1" customHeight="1" x14ac:dyDescent="0.25">
      <c r="B179" s="52"/>
      <c r="C179" s="51"/>
      <c r="D179" s="54"/>
      <c r="E179" s="46"/>
      <c r="F179" s="7" t="s">
        <v>5</v>
      </c>
      <c r="G179" s="5">
        <f>SUM(H179:P179)</f>
        <v>0</v>
      </c>
      <c r="H179" s="5"/>
      <c r="I179" s="5"/>
      <c r="J179" s="5"/>
      <c r="K179" s="5"/>
      <c r="L179" s="5"/>
      <c r="M179" s="5"/>
      <c r="N179" s="5"/>
      <c r="O179" s="5"/>
      <c r="P179" s="5"/>
    </row>
    <row r="180" spans="2:16" ht="134.25" hidden="1" customHeight="1" x14ac:dyDescent="0.25">
      <c r="B180" s="52"/>
      <c r="C180" s="51"/>
      <c r="D180" s="55"/>
      <c r="E180" s="46"/>
      <c r="F180" s="7" t="s">
        <v>6</v>
      </c>
      <c r="G180" s="5">
        <f>SUM(H180:P180)</f>
        <v>0</v>
      </c>
      <c r="H180" s="5"/>
      <c r="I180" s="5"/>
      <c r="J180" s="5"/>
      <c r="K180" s="5"/>
      <c r="L180" s="5"/>
      <c r="M180" s="5"/>
      <c r="N180" s="5"/>
      <c r="O180" s="5"/>
      <c r="P180" s="5"/>
    </row>
    <row r="181" spans="2:16" ht="18.75" hidden="1" customHeight="1" x14ac:dyDescent="0.25">
      <c r="B181" s="48"/>
      <c r="C181" s="58" t="s">
        <v>14</v>
      </c>
      <c r="D181" s="53">
        <v>2018</v>
      </c>
      <c r="E181" s="46" t="s">
        <v>12</v>
      </c>
      <c r="F181" s="4" t="s">
        <v>2</v>
      </c>
      <c r="G181" s="5">
        <f>SUM(G182:G185)</f>
        <v>0</v>
      </c>
      <c r="H181" s="5">
        <f>SUM(H182:H185)</f>
        <v>0</v>
      </c>
      <c r="I181" s="5">
        <f>SUM(I182:I185)</f>
        <v>0</v>
      </c>
      <c r="J181" s="5">
        <f>SUM(J182:J185)</f>
        <v>0</v>
      </c>
      <c r="K181" s="5"/>
      <c r="L181" s="5"/>
      <c r="M181" s="5">
        <f>SUM(M182:M185)</f>
        <v>0</v>
      </c>
      <c r="N181" s="5">
        <f>SUM(N182:N185)</f>
        <v>0</v>
      </c>
      <c r="O181" s="5">
        <f>SUM(O182:O185)</f>
        <v>0</v>
      </c>
      <c r="P181" s="5">
        <f>SUM(P182:P185)</f>
        <v>0</v>
      </c>
    </row>
    <row r="182" spans="2:16" ht="18" hidden="1" customHeight="1" x14ac:dyDescent="0.25">
      <c r="B182" s="56"/>
      <c r="C182" s="59"/>
      <c r="D182" s="54"/>
      <c r="E182" s="46"/>
      <c r="F182" s="7" t="s">
        <v>3</v>
      </c>
      <c r="G182" s="5">
        <f>SUM(H182:P182)</f>
        <v>0</v>
      </c>
      <c r="H182" s="5"/>
      <c r="I182" s="5"/>
      <c r="J182" s="5"/>
      <c r="K182" s="5"/>
      <c r="L182" s="5"/>
      <c r="M182" s="5"/>
      <c r="N182" s="5"/>
      <c r="O182" s="5"/>
      <c r="P182" s="5"/>
    </row>
    <row r="183" spans="2:16" ht="27.75" hidden="1" customHeight="1" x14ac:dyDescent="0.25">
      <c r="B183" s="56"/>
      <c r="C183" s="59"/>
      <c r="D183" s="54"/>
      <c r="E183" s="46"/>
      <c r="F183" s="7" t="s">
        <v>4</v>
      </c>
      <c r="G183" s="5">
        <f>SUM(H183:P183)</f>
        <v>0</v>
      </c>
      <c r="H183" s="5"/>
      <c r="I183" s="5"/>
      <c r="J183" s="5"/>
      <c r="K183" s="5"/>
      <c r="L183" s="5"/>
      <c r="M183" s="5"/>
      <c r="N183" s="5"/>
      <c r="O183" s="5"/>
      <c r="P183" s="5"/>
    </row>
    <row r="184" spans="2:16" ht="29.25" hidden="1" customHeight="1" x14ac:dyDescent="0.25">
      <c r="B184" s="56"/>
      <c r="C184" s="59"/>
      <c r="D184" s="54"/>
      <c r="E184" s="46"/>
      <c r="F184" s="7" t="s">
        <v>5</v>
      </c>
      <c r="G184" s="5">
        <f>SUM(H184:P184)</f>
        <v>0</v>
      </c>
      <c r="H184" s="5"/>
      <c r="I184" s="5"/>
      <c r="J184" s="5"/>
      <c r="K184" s="5"/>
      <c r="L184" s="5"/>
      <c r="M184" s="5"/>
      <c r="N184" s="5"/>
      <c r="O184" s="5"/>
      <c r="P184" s="5"/>
    </row>
    <row r="185" spans="2:16" ht="112.5" hidden="1" customHeight="1" x14ac:dyDescent="0.25">
      <c r="B185" s="57"/>
      <c r="C185" s="60"/>
      <c r="D185" s="55"/>
      <c r="E185" s="46"/>
      <c r="F185" s="7" t="s">
        <v>6</v>
      </c>
      <c r="G185" s="5">
        <f>SUM(H185:P185)</f>
        <v>0</v>
      </c>
      <c r="H185" s="5"/>
      <c r="I185" s="5"/>
      <c r="J185" s="5"/>
      <c r="K185" s="5"/>
      <c r="L185" s="5"/>
      <c r="M185" s="5"/>
      <c r="N185" s="5"/>
      <c r="O185" s="5"/>
      <c r="P185" s="5"/>
    </row>
    <row r="186" spans="2:16" ht="23.25" hidden="1" customHeight="1" x14ac:dyDescent="0.25">
      <c r="B186" s="47"/>
      <c r="C186" s="51" t="s">
        <v>15</v>
      </c>
      <c r="D186" s="53">
        <v>2018</v>
      </c>
      <c r="E186" s="46" t="s">
        <v>12</v>
      </c>
      <c r="F186" s="4" t="s">
        <v>2</v>
      </c>
      <c r="G186" s="5">
        <f>SUM(G187:G190)</f>
        <v>0</v>
      </c>
      <c r="H186" s="5">
        <f>SUM(H187:H190)</f>
        <v>0</v>
      </c>
      <c r="I186" s="5">
        <f>SUM(I187:I190)</f>
        <v>0</v>
      </c>
      <c r="J186" s="5">
        <f>SUM(J187:J190)</f>
        <v>0</v>
      </c>
      <c r="K186" s="5"/>
      <c r="L186" s="5"/>
      <c r="M186" s="5">
        <f>SUM(M187:M190)</f>
        <v>0</v>
      </c>
      <c r="N186" s="5">
        <f>SUM(N187:N190)</f>
        <v>0</v>
      </c>
      <c r="O186" s="5">
        <f>SUM(O187:O190)</f>
        <v>0</v>
      </c>
      <c r="P186" s="5">
        <f>SUM(P187:P190)</f>
        <v>0</v>
      </c>
    </row>
    <row r="187" spans="2:16" ht="31.5" hidden="1" customHeight="1" x14ac:dyDescent="0.25">
      <c r="B187" s="47"/>
      <c r="C187" s="51"/>
      <c r="D187" s="54"/>
      <c r="E187" s="46"/>
      <c r="F187" s="7" t="s">
        <v>3</v>
      </c>
      <c r="G187" s="5">
        <f>SUM(H187:P187)</f>
        <v>0</v>
      </c>
      <c r="H187" s="5"/>
      <c r="I187" s="5"/>
      <c r="J187" s="5"/>
      <c r="K187" s="5"/>
      <c r="L187" s="5"/>
      <c r="M187" s="5"/>
      <c r="N187" s="5"/>
      <c r="O187" s="5"/>
      <c r="P187" s="5"/>
    </row>
    <row r="188" spans="2:16" ht="30" hidden="1" customHeight="1" x14ac:dyDescent="0.25">
      <c r="B188" s="47"/>
      <c r="C188" s="51"/>
      <c r="D188" s="54"/>
      <c r="E188" s="46"/>
      <c r="F188" s="7" t="s">
        <v>4</v>
      </c>
      <c r="G188" s="5">
        <f>SUM(H188:P188)</f>
        <v>0</v>
      </c>
      <c r="H188" s="5"/>
      <c r="I188" s="5"/>
      <c r="J188" s="5"/>
      <c r="K188" s="5"/>
      <c r="L188" s="5"/>
      <c r="M188" s="5"/>
      <c r="N188" s="5"/>
      <c r="O188" s="5"/>
      <c r="P188" s="5"/>
    </row>
    <row r="189" spans="2:16" ht="31.5" hidden="1" customHeight="1" x14ac:dyDescent="0.25">
      <c r="B189" s="47"/>
      <c r="C189" s="51"/>
      <c r="D189" s="54"/>
      <c r="E189" s="46"/>
      <c r="F189" s="7" t="s">
        <v>5</v>
      </c>
      <c r="G189" s="5">
        <f>SUM(H189:P189)</f>
        <v>0</v>
      </c>
      <c r="H189" s="5"/>
      <c r="I189" s="5"/>
      <c r="J189" s="5"/>
      <c r="K189" s="5"/>
      <c r="L189" s="5"/>
      <c r="M189" s="5"/>
      <c r="N189" s="5"/>
      <c r="O189" s="5"/>
      <c r="P189" s="5"/>
    </row>
    <row r="190" spans="2:16" ht="21.75" hidden="1" customHeight="1" x14ac:dyDescent="0.25">
      <c r="B190" s="47"/>
      <c r="C190" s="51"/>
      <c r="D190" s="55"/>
      <c r="E190" s="46"/>
      <c r="F190" s="7" t="s">
        <v>6</v>
      </c>
      <c r="G190" s="5">
        <f>SUM(H190:P190)</f>
        <v>0</v>
      </c>
      <c r="H190" s="5"/>
      <c r="I190" s="5"/>
      <c r="J190" s="5"/>
      <c r="K190" s="5"/>
      <c r="L190" s="5"/>
      <c r="M190" s="5"/>
      <c r="N190" s="5"/>
      <c r="O190" s="5"/>
      <c r="P190" s="5"/>
    </row>
    <row r="191" spans="2:16" ht="21.75" customHeight="1" x14ac:dyDescent="0.25">
      <c r="B191" s="47" t="s">
        <v>93</v>
      </c>
      <c r="C191" s="45" t="s">
        <v>94</v>
      </c>
      <c r="D191" s="45">
        <v>2023</v>
      </c>
      <c r="E191" s="46" t="s">
        <v>12</v>
      </c>
      <c r="F191" s="4" t="s">
        <v>2</v>
      </c>
      <c r="G191" s="5">
        <f t="shared" ref="G191:L191" si="63">SUM(G192:G196)</f>
        <v>3203.2032100000001</v>
      </c>
      <c r="H191" s="5">
        <f t="shared" si="63"/>
        <v>0</v>
      </c>
      <c r="I191" s="5">
        <f t="shared" si="63"/>
        <v>0</v>
      </c>
      <c r="J191" s="5">
        <f t="shared" si="63"/>
        <v>0</v>
      </c>
      <c r="K191" s="5">
        <f>SUM(K192:K196)</f>
        <v>0</v>
      </c>
      <c r="L191" s="5">
        <f t="shared" si="63"/>
        <v>0</v>
      </c>
      <c r="M191" s="5">
        <f>SUM(M192:M196)</f>
        <v>0</v>
      </c>
      <c r="N191" s="5">
        <f>SUM(N192:N196)</f>
        <v>3203.2032100000001</v>
      </c>
      <c r="O191" s="5">
        <f>SUM(O192:O196)</f>
        <v>0</v>
      </c>
      <c r="P191" s="5">
        <f>SUM(P192:P196)</f>
        <v>0</v>
      </c>
    </row>
    <row r="192" spans="2:16" ht="21.75" customHeight="1" x14ac:dyDescent="0.25">
      <c r="B192" s="47"/>
      <c r="C192" s="45"/>
      <c r="D192" s="45"/>
      <c r="E192" s="46"/>
      <c r="F192" s="7" t="s">
        <v>3</v>
      </c>
      <c r="G192" s="5">
        <f>SUM(H192:P192)</f>
        <v>0</v>
      </c>
      <c r="H192" s="5"/>
      <c r="I192" s="5"/>
      <c r="J192" s="5"/>
      <c r="K192" s="5"/>
      <c r="L192" s="5"/>
      <c r="M192" s="5"/>
      <c r="N192" s="5">
        <v>0</v>
      </c>
      <c r="O192" s="5"/>
      <c r="P192" s="5"/>
    </row>
    <row r="193" spans="2:16" ht="21.75" customHeight="1" x14ac:dyDescent="0.25">
      <c r="B193" s="47"/>
      <c r="C193" s="45"/>
      <c r="D193" s="45"/>
      <c r="E193" s="46"/>
      <c r="F193" s="7" t="s">
        <v>4</v>
      </c>
      <c r="G193" s="5">
        <f>SUM(H193:P193)</f>
        <v>0</v>
      </c>
      <c r="H193" s="5"/>
      <c r="I193" s="5"/>
      <c r="J193" s="5"/>
      <c r="K193" s="5"/>
      <c r="L193" s="5"/>
      <c r="M193" s="5"/>
      <c r="N193" s="5">
        <v>0</v>
      </c>
      <c r="O193" s="5"/>
      <c r="P193" s="5"/>
    </row>
    <row r="194" spans="2:16" ht="21.75" customHeight="1" x14ac:dyDescent="0.25">
      <c r="B194" s="47"/>
      <c r="C194" s="45"/>
      <c r="D194" s="45"/>
      <c r="E194" s="46"/>
      <c r="F194" s="10" t="s">
        <v>62</v>
      </c>
      <c r="G194" s="5">
        <f>SUM(H194:P194)</f>
        <v>3200</v>
      </c>
      <c r="H194" s="5"/>
      <c r="I194" s="5"/>
      <c r="J194" s="5"/>
      <c r="K194" s="5"/>
      <c r="L194" s="5"/>
      <c r="M194" s="5"/>
      <c r="N194" s="5">
        <v>3200</v>
      </c>
      <c r="O194" s="5"/>
      <c r="P194" s="5"/>
    </row>
    <row r="195" spans="2:16" ht="21.75" customHeight="1" x14ac:dyDescent="0.25">
      <c r="B195" s="47"/>
      <c r="C195" s="45"/>
      <c r="D195" s="45"/>
      <c r="E195" s="46"/>
      <c r="F195" s="7" t="s">
        <v>5</v>
      </c>
      <c r="G195" s="5">
        <f>SUM(H195:P195)</f>
        <v>3.2032099999999999</v>
      </c>
      <c r="H195" s="5"/>
      <c r="I195" s="5"/>
      <c r="J195" s="5"/>
      <c r="K195" s="5"/>
      <c r="L195" s="5"/>
      <c r="M195" s="5"/>
      <c r="N195" s="5">
        <v>3.2032099999999999</v>
      </c>
      <c r="O195" s="5"/>
      <c r="P195" s="5"/>
    </row>
    <row r="196" spans="2:16" ht="21.75" customHeight="1" x14ac:dyDescent="0.25">
      <c r="B196" s="47"/>
      <c r="C196" s="45"/>
      <c r="D196" s="45"/>
      <c r="E196" s="46"/>
      <c r="F196" s="7" t="s">
        <v>6</v>
      </c>
      <c r="G196" s="5">
        <f>SUM(H196:P196)</f>
        <v>0</v>
      </c>
      <c r="H196" s="5"/>
      <c r="I196" s="5"/>
      <c r="J196" s="5"/>
      <c r="K196" s="5"/>
      <c r="L196" s="5"/>
      <c r="M196" s="5"/>
      <c r="N196" s="5">
        <v>0</v>
      </c>
      <c r="O196" s="5"/>
      <c r="P196" s="5"/>
    </row>
    <row r="197" spans="2:16" x14ac:dyDescent="0.25">
      <c r="B197" s="47"/>
      <c r="C197" s="51"/>
      <c r="D197" s="45"/>
      <c r="E197" s="51" t="s">
        <v>10</v>
      </c>
      <c r="F197" s="4" t="s">
        <v>2</v>
      </c>
      <c r="G197" s="8">
        <f>SUM(G198:G202)</f>
        <v>1451860.9750399999</v>
      </c>
      <c r="H197" s="8">
        <f>SUM(H198:H202)</f>
        <v>0</v>
      </c>
      <c r="I197" s="8">
        <f t="shared" ref="I197:N197" si="64">SUM(I198:I202)</f>
        <v>112717.48300000001</v>
      </c>
      <c r="J197" s="8">
        <f t="shared" si="64"/>
        <v>143877.99485000002</v>
      </c>
      <c r="K197" s="8">
        <f t="shared" si="64"/>
        <v>218577.76193000001</v>
      </c>
      <c r="L197" s="8">
        <f>SUM(L198:L202)</f>
        <v>392022.58838000003</v>
      </c>
      <c r="M197" s="8">
        <f t="shared" si="64"/>
        <v>407596.19046000001</v>
      </c>
      <c r="N197" s="32">
        <f t="shared" si="64"/>
        <v>177068.95642</v>
      </c>
      <c r="O197" s="8">
        <f>SUM(O198:O202)</f>
        <v>0</v>
      </c>
      <c r="P197" s="8">
        <f>SUM(P198:P202)</f>
        <v>0</v>
      </c>
    </row>
    <row r="198" spans="2:16" ht="28.5" customHeight="1" x14ac:dyDescent="0.25">
      <c r="B198" s="47"/>
      <c r="C198" s="51"/>
      <c r="D198" s="45"/>
      <c r="E198" s="51"/>
      <c r="F198" s="4" t="s">
        <v>3</v>
      </c>
      <c r="G198" s="8">
        <f>SUM(I198:P198)</f>
        <v>868082.24835000001</v>
      </c>
      <c r="H198" s="8"/>
      <c r="I198" s="8">
        <f t="shared" ref="I198:P202" si="65">I17+I112</f>
        <v>57000</v>
      </c>
      <c r="J198" s="8">
        <f t="shared" si="65"/>
        <v>84401.142000000022</v>
      </c>
      <c r="K198" s="8">
        <f t="shared" si="65"/>
        <v>121770</v>
      </c>
      <c r="L198" s="8">
        <f t="shared" si="65"/>
        <v>241334.43806000001</v>
      </c>
      <c r="M198" s="8">
        <f t="shared" si="65"/>
        <v>268352.46828999999</v>
      </c>
      <c r="N198" s="32">
        <f>N17+N112</f>
        <v>95224.2</v>
      </c>
      <c r="O198" s="8">
        <f t="shared" ref="O198" si="66">O17+O112</f>
        <v>0</v>
      </c>
      <c r="P198" s="8">
        <f t="shared" si="65"/>
        <v>0</v>
      </c>
    </row>
    <row r="199" spans="2:16" ht="26.25" customHeight="1" x14ac:dyDescent="0.25">
      <c r="B199" s="47"/>
      <c r="C199" s="51"/>
      <c r="D199" s="45"/>
      <c r="E199" s="51"/>
      <c r="F199" s="4" t="s">
        <v>4</v>
      </c>
      <c r="G199" s="8">
        <f>SUM(I199:P199)</f>
        <v>41130.520170000003</v>
      </c>
      <c r="H199" s="8"/>
      <c r="I199" s="8">
        <f t="shared" si="65"/>
        <v>3000</v>
      </c>
      <c r="J199" s="8">
        <f t="shared" si="65"/>
        <v>11239.693000000001</v>
      </c>
      <c r="K199" s="8">
        <f t="shared" si="65"/>
        <v>3083.8000099999999</v>
      </c>
      <c r="L199" s="8">
        <f t="shared" si="65"/>
        <v>17437.721600000001</v>
      </c>
      <c r="M199" s="8">
        <f t="shared" si="65"/>
        <v>5503.6310100000001</v>
      </c>
      <c r="N199" s="32">
        <f t="shared" si="65"/>
        <v>865.67455000000007</v>
      </c>
      <c r="O199" s="8">
        <f t="shared" ref="O199" si="67">O18+O113</f>
        <v>0</v>
      </c>
      <c r="P199" s="8">
        <f t="shared" si="65"/>
        <v>0</v>
      </c>
    </row>
    <row r="200" spans="2:16" ht="26.25" customHeight="1" x14ac:dyDescent="0.25">
      <c r="B200" s="47"/>
      <c r="C200" s="51"/>
      <c r="D200" s="45"/>
      <c r="E200" s="51"/>
      <c r="F200" s="9" t="s">
        <v>62</v>
      </c>
      <c r="G200" s="8">
        <f>SUM(I200:P200)</f>
        <v>276844.06316000002</v>
      </c>
      <c r="H200" s="8"/>
      <c r="I200" s="8">
        <f t="shared" si="65"/>
        <v>0</v>
      </c>
      <c r="J200" s="8">
        <f t="shared" si="65"/>
        <v>0</v>
      </c>
      <c r="K200" s="8">
        <f t="shared" si="65"/>
        <v>55973.880000000005</v>
      </c>
      <c r="L200" s="8">
        <f t="shared" si="65"/>
        <v>96900.9</v>
      </c>
      <c r="M200" s="8">
        <f t="shared" si="65"/>
        <v>76368</v>
      </c>
      <c r="N200" s="32">
        <f>N19+N114</f>
        <v>47601.283159999999</v>
      </c>
      <c r="O200" s="8">
        <f t="shared" ref="O200" si="68">O19+O114</f>
        <v>0</v>
      </c>
      <c r="P200" s="8">
        <f t="shared" si="65"/>
        <v>0</v>
      </c>
    </row>
    <row r="201" spans="2:16" ht="26.25" customHeight="1" x14ac:dyDescent="0.25">
      <c r="B201" s="47"/>
      <c r="C201" s="51"/>
      <c r="D201" s="45"/>
      <c r="E201" s="51"/>
      <c r="F201" s="4" t="s">
        <v>5</v>
      </c>
      <c r="G201" s="8">
        <f>SUM(I201:P201)</f>
        <v>265804.14335999999</v>
      </c>
      <c r="H201" s="8"/>
      <c r="I201" s="8">
        <f t="shared" si="65"/>
        <v>52717.483000000007</v>
      </c>
      <c r="J201" s="8">
        <f t="shared" si="65"/>
        <v>48237.159849999996</v>
      </c>
      <c r="K201" s="8">
        <f t="shared" si="65"/>
        <v>37750.081919999997</v>
      </c>
      <c r="L201" s="8">
        <f t="shared" si="65"/>
        <v>36349.528720000002</v>
      </c>
      <c r="M201" s="8">
        <f t="shared" si="65"/>
        <v>57372.091160000011</v>
      </c>
      <c r="N201" s="32">
        <f>N20+N115</f>
        <v>33377.798709999995</v>
      </c>
      <c r="O201" s="8">
        <f t="shared" ref="O201" si="69">O20+O115</f>
        <v>0</v>
      </c>
      <c r="P201" s="8">
        <f t="shared" si="65"/>
        <v>0</v>
      </c>
    </row>
    <row r="202" spans="2:16" ht="25.5" x14ac:dyDescent="0.25">
      <c r="B202" s="47"/>
      <c r="C202" s="51"/>
      <c r="D202" s="45"/>
      <c r="E202" s="51"/>
      <c r="F202" s="4" t="s">
        <v>70</v>
      </c>
      <c r="G202" s="8">
        <f>SUM(I202:P202)</f>
        <v>0</v>
      </c>
      <c r="H202" s="8"/>
      <c r="I202" s="8">
        <f t="shared" si="65"/>
        <v>0</v>
      </c>
      <c r="J202" s="8">
        <f t="shared" si="65"/>
        <v>0</v>
      </c>
      <c r="K202" s="8">
        <f t="shared" si="65"/>
        <v>0</v>
      </c>
      <c r="L202" s="8">
        <f t="shared" si="65"/>
        <v>0</v>
      </c>
      <c r="M202" s="8">
        <f t="shared" si="65"/>
        <v>0</v>
      </c>
      <c r="N202" s="32">
        <f t="shared" si="65"/>
        <v>0</v>
      </c>
      <c r="O202" s="8">
        <f t="shared" ref="O202" si="70">O21+O116</f>
        <v>0</v>
      </c>
      <c r="P202" s="8">
        <f t="shared" si="65"/>
        <v>0</v>
      </c>
    </row>
    <row r="204" spans="2:16" x14ac:dyDescent="0.25">
      <c r="L204" s="18"/>
      <c r="N204" s="18"/>
      <c r="O204" s="18"/>
    </row>
    <row r="206" spans="2:16" x14ac:dyDescent="0.25">
      <c r="I206" s="19"/>
    </row>
  </sheetData>
  <mergeCells count="143">
    <mergeCell ref="I2:P2"/>
    <mergeCell ref="B170:B175"/>
    <mergeCell ref="C170:C175"/>
    <mergeCell ref="D170:D175"/>
    <mergeCell ref="E170:E175"/>
    <mergeCell ref="B164:B169"/>
    <mergeCell ref="C164:C169"/>
    <mergeCell ref="D164:D169"/>
    <mergeCell ref="E164:E169"/>
    <mergeCell ref="B158:B163"/>
    <mergeCell ref="C158:C163"/>
    <mergeCell ref="D158:D163"/>
    <mergeCell ref="E158:E163"/>
    <mergeCell ref="B111:B116"/>
    <mergeCell ref="C111:C116"/>
    <mergeCell ref="D111:D116"/>
    <mergeCell ref="E111:E116"/>
    <mergeCell ref="C129:C133"/>
    <mergeCell ref="B152:B157"/>
    <mergeCell ref="C152:C157"/>
    <mergeCell ref="B10:B14"/>
    <mergeCell ref="C10:C14"/>
    <mergeCell ref="E7:E8"/>
    <mergeCell ref="F7:F8"/>
    <mergeCell ref="G7:G8"/>
    <mergeCell ref="H7:P7"/>
    <mergeCell ref="I4:P4"/>
    <mergeCell ref="B5:P5"/>
    <mergeCell ref="B7:B8"/>
    <mergeCell ref="C7:C8"/>
    <mergeCell ref="D7:D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15:E15"/>
    <mergeCell ref="B28:B33"/>
    <mergeCell ref="C28:C33"/>
    <mergeCell ref="D28:D33"/>
    <mergeCell ref="E28:E33"/>
    <mergeCell ref="C117:C122"/>
    <mergeCell ref="D117:D122"/>
    <mergeCell ref="E117:E122"/>
    <mergeCell ref="B106:B110"/>
    <mergeCell ref="C106:C110"/>
    <mergeCell ref="D129:D133"/>
    <mergeCell ref="E129:E133"/>
    <mergeCell ref="D10:D14"/>
    <mergeCell ref="E10:E14"/>
    <mergeCell ref="D106:D110"/>
    <mergeCell ref="E106:E110"/>
    <mergeCell ref="D22:D27"/>
    <mergeCell ref="E22:E27"/>
    <mergeCell ref="D46:D51"/>
    <mergeCell ref="E46:E51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197:B202"/>
    <mergeCell ref="C197:C202"/>
    <mergeCell ref="D197:D202"/>
    <mergeCell ref="E197:E202"/>
    <mergeCell ref="B176:B180"/>
    <mergeCell ref="C176:C180"/>
    <mergeCell ref="D176:D180"/>
    <mergeCell ref="E176:E180"/>
    <mergeCell ref="B181:B185"/>
    <mergeCell ref="C181:C185"/>
    <mergeCell ref="D181:D185"/>
    <mergeCell ref="E181:E185"/>
    <mergeCell ref="B186:B190"/>
    <mergeCell ref="C186:C190"/>
    <mergeCell ref="D186:D190"/>
    <mergeCell ref="E186:E190"/>
    <mergeCell ref="B191:B196"/>
    <mergeCell ref="C191:C196"/>
    <mergeCell ref="D191:D196"/>
    <mergeCell ref="E191:E196"/>
    <mergeCell ref="C58:C63"/>
    <mergeCell ref="D58:D63"/>
    <mergeCell ref="E58:E63"/>
    <mergeCell ref="B52:B57"/>
    <mergeCell ref="C52:C57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E82:E87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D152:D157"/>
    <mergeCell ref="E152:E157"/>
    <mergeCell ref="B146:B151"/>
    <mergeCell ref="C146:C151"/>
    <mergeCell ref="D146:D151"/>
    <mergeCell ref="E146:E151"/>
    <mergeCell ref="B100:B105"/>
    <mergeCell ref="C100:C105"/>
    <mergeCell ref="D100:D105"/>
    <mergeCell ref="E100:E105"/>
    <mergeCell ref="B140:B145"/>
    <mergeCell ref="C140:C145"/>
    <mergeCell ref="D140:D145"/>
    <mergeCell ref="E140:E145"/>
    <mergeCell ref="B123:B128"/>
    <mergeCell ref="C123:C128"/>
    <mergeCell ref="D123:D128"/>
    <mergeCell ref="E123:E128"/>
    <mergeCell ref="B129:B133"/>
    <mergeCell ref="B134:B139"/>
    <mergeCell ref="C134:C139"/>
    <mergeCell ref="D134:D139"/>
    <mergeCell ref="E134:E139"/>
    <mergeCell ref="B117:B122"/>
  </mergeCells>
  <phoneticPr fontId="11" type="noConversion"/>
  <pageMargins left="0.39370078740157483" right="0.39370078740157483" top="1.1811023622047245" bottom="0.39370078740157483" header="0" footer="0"/>
  <pageSetup paperSize="9" scale="60" fitToHeight="0" orientation="landscape" r:id="rId1"/>
  <rowBreaks count="4" manualBreakCount="4">
    <brk id="33" max="16383" man="1"/>
    <brk id="57" max="16383" man="1"/>
    <brk id="139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2019 - 2022</vt:lpstr>
      <vt:lpstr>'2019 - 2022'!Заголовки_для_печати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2023-02-28T13:35:27Z</dcterms:modified>
</cp:coreProperties>
</file>